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ttps://norskbyggtjeneste-my.sharepoint.com/personal/mso_byggtjeneste_no/Documents/MSO/"/>
    </mc:Choice>
  </mc:AlternateContent>
  <xr:revisionPtr revIDLastSave="0" documentId="8_{B1C78766-34A7-4EED-B1A4-705782DB7827}" xr6:coauthVersionLast="47" xr6:coauthVersionMax="47" xr10:uidLastSave="{00000000-0000-0000-0000-000000000000}"/>
  <bookViews>
    <workbookView showSheetTabs="0" xWindow="3420" yWindow="3420" windowWidth="38700" windowHeight="15345" xr2:uid="{00000000-000D-0000-FFFF-FFFF00000000}"/>
  </bookViews>
  <sheets>
    <sheet name="Ark1" sheetId="1" r:id="rId1"/>
  </sheets>
  <definedNames>
    <definedName name="_ftn1" localSheetId="0">'Ark1'!#REF!</definedName>
    <definedName name="_ftn2" localSheetId="0">'Ark1'!#REF!</definedName>
    <definedName name="_ftn3" localSheetId="0">'Ark1'!$BW$194</definedName>
    <definedName name="_ftn4" localSheetId="0">'Ark1'!#REF!</definedName>
    <definedName name="_ftn5" localSheetId="0">'Ark1'!$BW$196</definedName>
    <definedName name="_ftnref1" localSheetId="0">'Ark1'!$AB$92</definedName>
    <definedName name="_ftnref3" localSheetId="0">'Ark1'!$E$108</definedName>
    <definedName name="_ftnref5" localSheetId="0">'Ark1'!$AD$91</definedName>
    <definedName name="_xlnm.Print_Area" localSheetId="0">'Ark1'!$BU$194:$CD$245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95" i="1" l="1"/>
  <c r="W59" i="1"/>
  <c r="Q61" i="1" l="1"/>
  <c r="S49" i="1"/>
  <c r="X11" i="1"/>
  <c r="Q70" i="1"/>
  <c r="Q69" i="1"/>
  <c r="Q68" i="1"/>
  <c r="Q67" i="1"/>
  <c r="Q66" i="1"/>
  <c r="Q65" i="1"/>
  <c r="Q64" i="1"/>
  <c r="Q63" i="1"/>
  <c r="Q62" i="1"/>
  <c r="S50" i="1"/>
  <c r="S55" i="1"/>
  <c r="S51" i="1"/>
  <c r="O82" i="1"/>
  <c r="W49" i="1" l="1"/>
  <c r="S53" i="1" s="1"/>
  <c r="V64" i="1"/>
  <c r="C2" i="1" l="1"/>
  <c r="Q72" i="1"/>
  <c r="Q71" i="1"/>
  <c r="V66" i="1"/>
  <c r="AB59" i="1"/>
  <c r="T59" i="1"/>
  <c r="X59" i="1"/>
  <c r="V59" i="1"/>
  <c r="U59" i="1"/>
  <c r="R71" i="1" l="1"/>
  <c r="R70" i="1"/>
  <c r="Z82" i="1" l="1"/>
  <c r="Z70" i="1"/>
  <c r="BC82" i="1"/>
  <c r="V67" i="1"/>
  <c r="S103" i="1" s="1"/>
  <c r="T67" i="1"/>
  <c r="S67" i="1"/>
  <c r="R67" i="1"/>
  <c r="AM67" i="1" l="1"/>
  <c r="AE67" i="1"/>
  <c r="AD67" i="1"/>
  <c r="AN67" i="1"/>
  <c r="AI67" i="1"/>
  <c r="AD79" i="1"/>
  <c r="AH79" i="1"/>
  <c r="AH67" i="1"/>
  <c r="AM79" i="1"/>
  <c r="AS79" i="1"/>
  <c r="AS67" i="1"/>
  <c r="AT79" i="1"/>
  <c r="AT67" i="1"/>
  <c r="U63" i="1"/>
  <c r="BQ204" i="1" l="1"/>
  <c r="S146" i="1" l="1"/>
  <c r="S139" i="1"/>
  <c r="S132" i="1"/>
  <c r="S125" i="1"/>
  <c r="S118" i="1"/>
  <c r="S111" i="1"/>
  <c r="S104" i="1"/>
  <c r="S97" i="1"/>
  <c r="S90" i="1"/>
  <c r="S83" i="1"/>
  <c r="R56" i="1" l="1"/>
  <c r="R62" i="1"/>
  <c r="R63" i="1"/>
  <c r="R64" i="1"/>
  <c r="R65" i="1"/>
  <c r="R66" i="1"/>
  <c r="R68" i="1"/>
  <c r="R69" i="1"/>
  <c r="BU200" i="1"/>
  <c r="AC178" i="1"/>
  <c r="AU189" i="1" s="1"/>
  <c r="AT77" i="1" l="1"/>
  <c r="AT65" i="1"/>
  <c r="AT76" i="1"/>
  <c r="AT64" i="1"/>
  <c r="Z69" i="1"/>
  <c r="Z81" i="1"/>
  <c r="AD63" i="1"/>
  <c r="AU62" i="1"/>
  <c r="BG69" i="1"/>
  <c r="BF69" i="1"/>
  <c r="Z65" i="1"/>
  <c r="Z77" i="1"/>
  <c r="AD62" i="1"/>
  <c r="AD74" i="1"/>
  <c r="BC76" i="1"/>
  <c r="BB64" i="1"/>
  <c r="AL76" i="1"/>
  <c r="BF77" i="1"/>
  <c r="BE65" i="1"/>
  <c r="AW65" i="1"/>
  <c r="BB77" i="1"/>
  <c r="BB65" i="1"/>
  <c r="BA77" i="1"/>
  <c r="AS77" i="1"/>
  <c r="BA65" i="1"/>
  <c r="AS65" i="1"/>
  <c r="AX77" i="1"/>
  <c r="BF65" i="1"/>
  <c r="AX65" i="1"/>
  <c r="BE77" i="1"/>
  <c r="AW77" i="1"/>
  <c r="AS64" i="1"/>
  <c r="AK64" i="1"/>
  <c r="AP76" i="1"/>
  <c r="AG76" i="1"/>
  <c r="AP64" i="1"/>
  <c r="AG64" i="1"/>
  <c r="AO76" i="1"/>
  <c r="AF76" i="1"/>
  <c r="AO64" i="1"/>
  <c r="AF64" i="1"/>
  <c r="AL64" i="1"/>
  <c r="AS76" i="1"/>
  <c r="AK76" i="1"/>
  <c r="AX66" i="1"/>
  <c r="BM66" i="1"/>
  <c r="BM64" i="1"/>
  <c r="BM70" i="1"/>
  <c r="AX78" i="1"/>
  <c r="AW78" i="1"/>
  <c r="AW66" i="1"/>
  <c r="BO65" i="1"/>
  <c r="BN65" i="1"/>
  <c r="S95" i="1"/>
  <c r="AU194" i="1"/>
  <c r="AW188" i="1"/>
  <c r="AU196" i="1"/>
  <c r="AU195" i="1"/>
  <c r="R72" i="1"/>
  <c r="AU193" i="1"/>
  <c r="AU192" i="1"/>
  <c r="AU191" i="1"/>
  <c r="AU188" i="1"/>
  <c r="AU190" i="1"/>
  <c r="AU197" i="1"/>
  <c r="AP212" i="1" l="1"/>
  <c r="AP214" i="1" l="1"/>
  <c r="AP213" i="1"/>
  <c r="AD179" i="1" l="1"/>
  <c r="AD180" i="1"/>
  <c r="AD181" i="1"/>
  <c r="AD182" i="1"/>
  <c r="AD183" i="1"/>
  <c r="AD184" i="1"/>
  <c r="AD185" i="1"/>
  <c r="AD186" i="1"/>
  <c r="AD187" i="1"/>
  <c r="AD178" i="1"/>
  <c r="AQ188" i="1" s="1"/>
  <c r="AC180" i="1" l="1"/>
  <c r="AW190" i="1" s="1"/>
  <c r="W178" i="1"/>
  <c r="C164" i="1" l="1"/>
  <c r="M82" i="1" l="1"/>
  <c r="BR210" i="1" s="1"/>
  <c r="BY245" i="1" l="1"/>
  <c r="BY244" i="1"/>
  <c r="BV241" i="1"/>
  <c r="BQ234" i="1"/>
  <c r="BG234" i="1"/>
  <c r="BB234" i="1"/>
  <c r="BQ232" i="1"/>
  <c r="BG232" i="1"/>
  <c r="BB232" i="1"/>
  <c r="BQ230" i="1"/>
  <c r="BG230" i="1"/>
  <c r="BB230" i="1"/>
  <c r="BQ227" i="1"/>
  <c r="BG227" i="1"/>
  <c r="BB227" i="1"/>
  <c r="BQ225" i="1"/>
  <c r="BG225" i="1"/>
  <c r="BB225" i="1"/>
  <c r="BQ223" i="1"/>
  <c r="BG223" i="1"/>
  <c r="BB223" i="1"/>
  <c r="BQ220" i="1"/>
  <c r="BG220" i="1"/>
  <c r="BB220" i="1"/>
  <c r="BU208" i="1"/>
  <c r="AF207" i="1"/>
  <c r="AE206" i="1"/>
  <c r="AE205" i="1"/>
  <c r="AE204" i="1"/>
  <c r="BU203" i="1"/>
  <c r="AW184" i="1" s="1"/>
  <c r="BU195" i="1"/>
  <c r="AW182" i="1" s="1"/>
  <c r="BK194" i="1"/>
  <c r="BY198" i="1" s="1"/>
  <c r="W191" i="1"/>
  <c r="AC187" i="1"/>
  <c r="AW197" i="1" s="1"/>
  <c r="X187" i="1"/>
  <c r="W187" i="1"/>
  <c r="AC186" i="1"/>
  <c r="AW196" i="1" s="1"/>
  <c r="X186" i="1"/>
  <c r="W186" i="1"/>
  <c r="AU185" i="1"/>
  <c r="AP185" i="1"/>
  <c r="AC185" i="1"/>
  <c r="AW195" i="1" s="1"/>
  <c r="X185" i="1"/>
  <c r="W185" i="1"/>
  <c r="AU184" i="1"/>
  <c r="AP184" i="1"/>
  <c r="AQ192" i="1"/>
  <c r="AC184" i="1"/>
  <c r="AW194" i="1" s="1"/>
  <c r="X184" i="1"/>
  <c r="W184" i="1"/>
  <c r="AY183" i="1"/>
  <c r="AX183" i="1"/>
  <c r="AQ191" i="1"/>
  <c r="AC183" i="1"/>
  <c r="AW193" i="1" s="1"/>
  <c r="X183" i="1"/>
  <c r="W183" i="1"/>
  <c r="AC182" i="1"/>
  <c r="AW192" i="1" s="1"/>
  <c r="X182" i="1"/>
  <c r="W182" i="1"/>
  <c r="AC181" i="1"/>
  <c r="AW191" i="1" s="1"/>
  <c r="X181" i="1"/>
  <c r="W181" i="1"/>
  <c r="AQ190" i="1"/>
  <c r="X180" i="1"/>
  <c r="W180" i="1"/>
  <c r="AQ189" i="1"/>
  <c r="AC179" i="1"/>
  <c r="AW189" i="1" s="1"/>
  <c r="X179" i="1"/>
  <c r="W179" i="1"/>
  <c r="U179" i="1"/>
  <c r="X178" i="1"/>
  <c r="U178" i="1"/>
  <c r="U177" i="1"/>
  <c r="U176" i="1"/>
  <c r="U175" i="1"/>
  <c r="U174" i="1"/>
  <c r="U173" i="1"/>
  <c r="U172" i="1"/>
  <c r="U171" i="1"/>
  <c r="U170" i="1"/>
  <c r="Y119" i="1"/>
  <c r="X119" i="1"/>
  <c r="BL85" i="1"/>
  <c r="BH85" i="1"/>
  <c r="BD85" i="1"/>
  <c r="AZ85" i="1"/>
  <c r="AV85" i="1"/>
  <c r="AR85" i="1"/>
  <c r="AN85" i="1"/>
  <c r="BL73" i="1"/>
  <c r="K146" i="1" s="1"/>
  <c r="Z98" i="1" s="1"/>
  <c r="BH73" i="1"/>
  <c r="K139" i="1" s="1"/>
  <c r="Z97" i="1" s="1"/>
  <c r="V72" i="1"/>
  <c r="Y72" i="1" s="1"/>
  <c r="V71" i="1"/>
  <c r="U71" i="1"/>
  <c r="T71" i="1"/>
  <c r="S71" i="1"/>
  <c r="V70" i="1"/>
  <c r="U70" i="1"/>
  <c r="T70" i="1"/>
  <c r="S70" i="1"/>
  <c r="V69" i="1"/>
  <c r="U69" i="1"/>
  <c r="T69" i="1"/>
  <c r="S69" i="1"/>
  <c r="V68" i="1"/>
  <c r="U68" i="1"/>
  <c r="T68" i="1"/>
  <c r="S68" i="1"/>
  <c r="U67" i="1"/>
  <c r="U66" i="1"/>
  <c r="T66" i="1"/>
  <c r="S66" i="1"/>
  <c r="AL78" i="1" s="1"/>
  <c r="V65" i="1"/>
  <c r="U65" i="1"/>
  <c r="T65" i="1"/>
  <c r="S65" i="1"/>
  <c r="U64" i="1"/>
  <c r="T64" i="1"/>
  <c r="S64" i="1"/>
  <c r="V63" i="1"/>
  <c r="T63" i="1"/>
  <c r="S63" i="1"/>
  <c r="V62" i="1"/>
  <c r="U62" i="1"/>
  <c r="T62" i="1"/>
  <c r="S62" i="1"/>
  <c r="AF59" i="1"/>
  <c r="AE59" i="1"/>
  <c r="AD59" i="1"/>
  <c r="AC59" i="1"/>
  <c r="AA59" i="1"/>
  <c r="Z59" i="1"/>
  <c r="BI232" i="1"/>
  <c r="S59" i="1"/>
  <c r="AB55" i="1"/>
  <c r="Z54" i="1"/>
  <c r="S54" i="1"/>
  <c r="W50" i="1" s="1"/>
  <c r="Z53" i="1"/>
  <c r="Z52" i="1"/>
  <c r="S52" i="1"/>
  <c r="Z51" i="1"/>
  <c r="V51" i="1"/>
  <c r="AB49" i="1"/>
  <c r="Z48" i="1"/>
  <c r="V48" i="1"/>
  <c r="Z47" i="1"/>
  <c r="Z46" i="1"/>
  <c r="AB18" i="1"/>
  <c r="BU194" i="1"/>
  <c r="AP81" i="1" l="1"/>
  <c r="AP69" i="1"/>
  <c r="AQ81" i="1"/>
  <c r="AQ69" i="1"/>
  <c r="AT75" i="1"/>
  <c r="AT63" i="1"/>
  <c r="AL81" i="1"/>
  <c r="AT69" i="1"/>
  <c r="AT78" i="1"/>
  <c r="AT66" i="1"/>
  <c r="T83" i="1"/>
  <c r="Y74" i="1"/>
  <c r="AL74" i="1"/>
  <c r="AG80" i="1"/>
  <c r="AL80" i="1"/>
  <c r="AT82" i="1"/>
  <c r="AT70" i="1"/>
  <c r="AF68" i="1"/>
  <c r="AT68" i="1"/>
  <c r="AT80" i="1"/>
  <c r="AG81" i="1"/>
  <c r="AT81" i="1"/>
  <c r="AL67" i="1"/>
  <c r="AL79" i="1"/>
  <c r="AL77" i="1"/>
  <c r="AP77" i="1"/>
  <c r="AL82" i="1"/>
  <c r="Y82" i="1"/>
  <c r="AC71" i="1"/>
  <c r="AL71" i="1"/>
  <c r="AL83" i="1"/>
  <c r="AL70" i="1"/>
  <c r="AG70" i="1"/>
  <c r="AD82" i="1"/>
  <c r="AM82" i="1"/>
  <c r="AD70" i="1"/>
  <c r="AM70" i="1"/>
  <c r="AC82" i="1"/>
  <c r="AC70" i="1"/>
  <c r="AH82" i="1"/>
  <c r="AH70" i="1"/>
  <c r="AG82" i="1"/>
  <c r="Y70" i="1"/>
  <c r="AF67" i="1"/>
  <c r="AF69" i="1"/>
  <c r="AB69" i="1"/>
  <c r="AB81" i="1"/>
  <c r="T84" i="1"/>
  <c r="T82" i="1"/>
  <c r="AX81" i="1"/>
  <c r="AG69" i="1"/>
  <c r="AO81" i="1"/>
  <c r="AX69" i="1"/>
  <c r="AO69" i="1"/>
  <c r="AC81" i="1"/>
  <c r="AC69" i="1"/>
  <c r="AL69" i="1"/>
  <c r="AU81" i="1"/>
  <c r="AM69" i="1"/>
  <c r="AH69" i="1"/>
  <c r="AM81" i="1"/>
  <c r="X69" i="1"/>
  <c r="Y81" i="1"/>
  <c r="AH81" i="1"/>
  <c r="AD69" i="1"/>
  <c r="Y69" i="1"/>
  <c r="AD81" i="1"/>
  <c r="X81" i="1"/>
  <c r="AU69" i="1"/>
  <c r="AM80" i="1"/>
  <c r="AH80" i="1"/>
  <c r="AD80" i="1"/>
  <c r="AH77" i="1"/>
  <c r="AM77" i="1"/>
  <c r="AC74" i="1"/>
  <c r="AH83" i="1"/>
  <c r="AD83" i="1"/>
  <c r="AM83" i="1"/>
  <c r="AM78" i="1"/>
  <c r="AH78" i="1"/>
  <c r="AD71" i="1"/>
  <c r="AC83" i="1"/>
  <c r="AM71" i="1"/>
  <c r="AH71" i="1"/>
  <c r="AG83" i="1"/>
  <c r="AG71" i="1"/>
  <c r="AB71" i="1"/>
  <c r="Y83" i="1"/>
  <c r="Y71" i="1"/>
  <c r="AF71" i="1"/>
  <c r="S89" i="1"/>
  <c r="AF62" i="1"/>
  <c r="AD76" i="1"/>
  <c r="Y76" i="1"/>
  <c r="Z63" i="1"/>
  <c r="AD75" i="1"/>
  <c r="Y75" i="1"/>
  <c r="AI74" i="1"/>
  <c r="AI62" i="1"/>
  <c r="AA62" i="1"/>
  <c r="Z62" i="1"/>
  <c r="AH74" i="1"/>
  <c r="Y62" i="1"/>
  <c r="Z74" i="1"/>
  <c r="S110" i="1"/>
  <c r="S96" i="1"/>
  <c r="S131" i="1"/>
  <c r="AF65" i="1"/>
  <c r="AK65" i="1"/>
  <c r="AB65" i="1"/>
  <c r="Y63" i="1"/>
  <c r="AC63" i="1"/>
  <c r="AT62" i="1"/>
  <c r="AM62" i="1"/>
  <c r="AR62" i="1"/>
  <c r="AP62" i="1"/>
  <c r="AS62" i="1"/>
  <c r="AQ62" i="1"/>
  <c r="AL62" i="1"/>
  <c r="AX62" i="1"/>
  <c r="AW62" i="1"/>
  <c r="AE71" i="1"/>
  <c r="AN71" i="1"/>
  <c r="AI71" i="1"/>
  <c r="AN70" i="1"/>
  <c r="AI70" i="1"/>
  <c r="AE70" i="1"/>
  <c r="AB70" i="1"/>
  <c r="AM68" i="1"/>
  <c r="AV69" i="1"/>
  <c r="AV73" i="1" s="1"/>
  <c r="K118" i="1" s="1"/>
  <c r="Z94" i="1" s="1"/>
  <c r="AR69" i="1"/>
  <c r="AN69" i="1"/>
  <c r="AI69" i="1"/>
  <c r="AE69" i="1"/>
  <c r="AZ69" i="1"/>
  <c r="AZ73" i="1" s="1"/>
  <c r="K125" i="1" s="1"/>
  <c r="Z95" i="1" s="1"/>
  <c r="AY69" i="1"/>
  <c r="AO62" i="1"/>
  <c r="AK62" i="1"/>
  <c r="AC62" i="1"/>
  <c r="AC80" i="1"/>
  <c r="AC68" i="1"/>
  <c r="AN68" i="1"/>
  <c r="AI68" i="1"/>
  <c r="AE68" i="1"/>
  <c r="AG68" i="1"/>
  <c r="AL68" i="1"/>
  <c r="AD68" i="1"/>
  <c r="Y80" i="1"/>
  <c r="Y68" i="1"/>
  <c r="AH68" i="1"/>
  <c r="AK66" i="1"/>
  <c r="AF66" i="1"/>
  <c r="AB66" i="1"/>
  <c r="X67" i="1"/>
  <c r="AB67" i="1"/>
  <c r="AC67" i="1"/>
  <c r="AG67" i="1"/>
  <c r="Y67" i="1"/>
  <c r="AC79" i="1"/>
  <c r="AG79" i="1"/>
  <c r="Y79" i="1"/>
  <c r="AK79" i="1"/>
  <c r="AK67" i="1"/>
  <c r="AF79" i="1"/>
  <c r="AB79" i="1"/>
  <c r="S117" i="1"/>
  <c r="AD77" i="1"/>
  <c r="AG66" i="1"/>
  <c r="AC66" i="1"/>
  <c r="AF78" i="1"/>
  <c r="AB78" i="1"/>
  <c r="AL66" i="1"/>
  <c r="AE66" i="1"/>
  <c r="AK78" i="1"/>
  <c r="AN66" i="1"/>
  <c r="AI66" i="1"/>
  <c r="AG78" i="1"/>
  <c r="AC78" i="1"/>
  <c r="AD66" i="1"/>
  <c r="Y66" i="1"/>
  <c r="X66" i="1"/>
  <c r="AH66" i="1"/>
  <c r="AM66" i="1"/>
  <c r="Y78" i="1"/>
  <c r="AD78" i="1"/>
  <c r="AI77" i="1"/>
  <c r="AE65" i="1"/>
  <c r="AC77" i="1"/>
  <c r="AI65" i="1"/>
  <c r="AC65" i="1"/>
  <c r="AL65" i="1"/>
  <c r="AG65" i="1"/>
  <c r="AN65" i="1"/>
  <c r="AP65" i="1"/>
  <c r="AG77" i="1"/>
  <c r="AO77" i="1"/>
  <c r="Y77" i="1"/>
  <c r="AD65" i="1"/>
  <c r="AB77" i="1"/>
  <c r="Y65" i="1"/>
  <c r="AF77" i="1"/>
  <c r="AH65" i="1"/>
  <c r="AK77" i="1"/>
  <c r="AM65" i="1"/>
  <c r="AO65" i="1"/>
  <c r="AS74" i="1"/>
  <c r="AN62" i="1"/>
  <c r="S124" i="1"/>
  <c r="BQ198" i="1"/>
  <c r="AT74" i="1"/>
  <c r="AQ74" i="1"/>
  <c r="AM74" i="1"/>
  <c r="AJ85" i="1"/>
  <c r="AP74" i="1"/>
  <c r="AG62" i="1"/>
  <c r="AH62" i="1"/>
  <c r="AG74" i="1"/>
  <c r="AO74" i="1"/>
  <c r="AA63" i="1"/>
  <c r="AA64" i="1"/>
  <c r="Z64" i="1"/>
  <c r="I82" i="1"/>
  <c r="BQ210" i="1" s="1"/>
  <c r="BQ208" i="1" s="1"/>
  <c r="AL75" i="1"/>
  <c r="AC76" i="1"/>
  <c r="BA84" i="1"/>
  <c r="AS84" i="1"/>
  <c r="AK84" i="1"/>
  <c r="AB84" i="1"/>
  <c r="AG84" i="1"/>
  <c r="AX72" i="1"/>
  <c r="AO84" i="1"/>
  <c r="AW72" i="1"/>
  <c r="AT84" i="1"/>
  <c r="AL84" i="1"/>
  <c r="BB72" i="1"/>
  <c r="AL72" i="1"/>
  <c r="BA72" i="1"/>
  <c r="AS72" i="1"/>
  <c r="AK72" i="1"/>
  <c r="AB72" i="1"/>
  <c r="AP84" i="1"/>
  <c r="BF72" i="1"/>
  <c r="AG72" i="1"/>
  <c r="AW84" i="1"/>
  <c r="W84" i="1"/>
  <c r="AO72" i="1"/>
  <c r="W72" i="1"/>
  <c r="BF84" i="1"/>
  <c r="AX84" i="1"/>
  <c r="Y84" i="1"/>
  <c r="AP72" i="1"/>
  <c r="BE84" i="1"/>
  <c r="AF84" i="1"/>
  <c r="BE72" i="1"/>
  <c r="AF72" i="1"/>
  <c r="BB84" i="1"/>
  <c r="AC84" i="1"/>
  <c r="AT72" i="1"/>
  <c r="AC72" i="1"/>
  <c r="AW71" i="1"/>
  <c r="AT83" i="1"/>
  <c r="AT71" i="1"/>
  <c r="AP83" i="1"/>
  <c r="AP71" i="1"/>
  <c r="AX83" i="1"/>
  <c r="AX71" i="1"/>
  <c r="AW83" i="1"/>
  <c r="W83" i="1"/>
  <c r="W71" i="1"/>
  <c r="W82" i="1"/>
  <c r="W70" i="1"/>
  <c r="AP82" i="1"/>
  <c r="AK82" i="1"/>
  <c r="AS70" i="1"/>
  <c r="AP70" i="1"/>
  <c r="AS82" i="1"/>
  <c r="AK70" i="1"/>
  <c r="AO82" i="1"/>
  <c r="AO70" i="1"/>
  <c r="AK69" i="1"/>
  <c r="AS69" i="1"/>
  <c r="AS81" i="1"/>
  <c r="AK81" i="1"/>
  <c r="AF81" i="1"/>
  <c r="W69" i="1"/>
  <c r="W81" i="1"/>
  <c r="W80" i="1"/>
  <c r="W68" i="1"/>
  <c r="AX80" i="1"/>
  <c r="AS80" i="1"/>
  <c r="AP80" i="1"/>
  <c r="AW68" i="1"/>
  <c r="AS68" i="1"/>
  <c r="AP68" i="1"/>
  <c r="AX68" i="1"/>
  <c r="AW80" i="1"/>
  <c r="AP79" i="1"/>
  <c r="W79" i="1"/>
  <c r="W67" i="1"/>
  <c r="AP67" i="1"/>
  <c r="AO67" i="1"/>
  <c r="AO79" i="1"/>
  <c r="W66" i="1"/>
  <c r="W78" i="1"/>
  <c r="AS66" i="1"/>
  <c r="AO78" i="1"/>
  <c r="AP78" i="1"/>
  <c r="AO66" i="1"/>
  <c r="AS78" i="1"/>
  <c r="AP66" i="1"/>
  <c r="W65" i="1"/>
  <c r="W77" i="1"/>
  <c r="W64" i="1"/>
  <c r="Y64" i="1"/>
  <c r="AB76" i="1"/>
  <c r="AB64" i="1"/>
  <c r="AC64" i="1"/>
  <c r="W76" i="1"/>
  <c r="X68" i="1"/>
  <c r="W63" i="1"/>
  <c r="X63" i="1"/>
  <c r="X65" i="1"/>
  <c r="X64" i="1"/>
  <c r="W62" i="1"/>
  <c r="X62" i="1"/>
  <c r="S145" i="1"/>
  <c r="X72" i="1"/>
  <c r="AF70" i="1"/>
  <c r="AO68" i="1"/>
  <c r="W30" i="1"/>
  <c r="W31" i="1"/>
  <c r="I18" i="1"/>
  <c r="BM65" i="1"/>
  <c r="X37" i="1"/>
  <c r="X38" i="1" s="1"/>
  <c r="AP75" i="1"/>
  <c r="AG75" i="1"/>
  <c r="C14" i="1"/>
  <c r="BM62" i="1"/>
  <c r="X84" i="1"/>
  <c r="X83" i="1"/>
  <c r="X71" i="1"/>
  <c r="BA83" i="1"/>
  <c r="AS83" i="1"/>
  <c r="AK83" i="1"/>
  <c r="AB83" i="1"/>
  <c r="BF71" i="1"/>
  <c r="BA71" i="1"/>
  <c r="AS71" i="1"/>
  <c r="AK71" i="1"/>
  <c r="BF83" i="1"/>
  <c r="BE83" i="1"/>
  <c r="AO83" i="1"/>
  <c r="AF83" i="1"/>
  <c r="BE71" i="1"/>
  <c r="AO71" i="1"/>
  <c r="BB83" i="1"/>
  <c r="BB71" i="1"/>
  <c r="X70" i="1"/>
  <c r="X82" i="1"/>
  <c r="AF82" i="1"/>
  <c r="AB82" i="1"/>
  <c r="X80" i="1"/>
  <c r="AK80" i="1"/>
  <c r="AB80" i="1"/>
  <c r="AK68" i="1"/>
  <c r="AF80" i="1"/>
  <c r="AO80" i="1"/>
  <c r="AB68" i="1"/>
  <c r="BM67" i="1"/>
  <c r="BM68" i="1"/>
  <c r="X78" i="1"/>
  <c r="X77" i="1"/>
  <c r="X76" i="1"/>
  <c r="AS75" i="1"/>
  <c r="AS63" i="1"/>
  <c r="X75" i="1"/>
  <c r="W75" i="1"/>
  <c r="AB75" i="1"/>
  <c r="AC75" i="1"/>
  <c r="AB63" i="1"/>
  <c r="AO63" i="1"/>
  <c r="AF63" i="1"/>
  <c r="AP63" i="1"/>
  <c r="AK75" i="1"/>
  <c r="AG63" i="1"/>
  <c r="AK63" i="1"/>
  <c r="AO75" i="1"/>
  <c r="AF75" i="1"/>
  <c r="AL63" i="1"/>
  <c r="AB62" i="1"/>
  <c r="BO66" i="1"/>
  <c r="BN67" i="1"/>
  <c r="AF74" i="1"/>
  <c r="C82" i="1"/>
  <c r="BU210" i="1" s="1"/>
  <c r="Y186" i="1"/>
  <c r="Z186" i="1" s="1"/>
  <c r="BM232" i="1" s="1"/>
  <c r="M179" i="1"/>
  <c r="Y183" i="1"/>
  <c r="AT191" i="1" s="1"/>
  <c r="Y181" i="1"/>
  <c r="Z181" i="1" s="1"/>
  <c r="Y182" i="1"/>
  <c r="Z182" i="1" s="1"/>
  <c r="BM225" i="1" s="1"/>
  <c r="Y184" i="1"/>
  <c r="Z75" i="1"/>
  <c r="BC64" i="1"/>
  <c r="Z76" i="1"/>
  <c r="Y179" i="1"/>
  <c r="Z179" i="1" s="1"/>
  <c r="AQ184" i="1"/>
  <c r="AS184" i="1"/>
  <c r="BJ232" i="1"/>
  <c r="AQ185" i="1"/>
  <c r="S152" i="1"/>
  <c r="AM64" i="1"/>
  <c r="S138" i="1"/>
  <c r="BP62" i="1"/>
  <c r="BP63" i="1"/>
  <c r="AM63" i="1"/>
  <c r="Y180" i="1"/>
  <c r="Y185" i="1"/>
  <c r="Z185" i="1" s="1"/>
  <c r="BM230" i="1" s="1"/>
  <c r="Y178" i="1"/>
  <c r="Y187" i="1"/>
  <c r="Z187" i="1" s="1"/>
  <c r="BM234" i="1" s="1"/>
  <c r="BD73" i="1"/>
  <c r="K132" i="1" s="1"/>
  <c r="Z96" i="1" s="1"/>
  <c r="AY75" i="1"/>
  <c r="BF82" i="1"/>
  <c r="T48" i="1"/>
  <c r="W188" i="1" s="1"/>
  <c r="C181" i="1" s="1"/>
  <c r="BG65" i="1"/>
  <c r="BF80" i="1"/>
  <c r="BP69" i="1"/>
  <c r="AH76" i="1"/>
  <c r="I158" i="1"/>
  <c r="BP71" i="1"/>
  <c r="BE69" i="1"/>
  <c r="Y134" i="1"/>
  <c r="BI234" i="1"/>
  <c r="BJ234" i="1" s="1"/>
  <c r="BP64" i="1"/>
  <c r="BR220" i="1"/>
  <c r="BS220" i="1" s="1"/>
  <c r="BB80" i="1"/>
  <c r="BF70" i="1"/>
  <c r="BP66" i="1"/>
  <c r="BN69" i="1"/>
  <c r="BA76" i="1"/>
  <c r="AW183" i="1"/>
  <c r="AW185" i="1" s="1"/>
  <c r="BN220" i="1"/>
  <c r="BB81" i="1"/>
  <c r="BK69" i="1"/>
  <c r="BG77" i="1"/>
  <c r="BA69" i="1"/>
  <c r="Y137" i="1"/>
  <c r="BN227" i="1"/>
  <c r="BB69" i="1"/>
  <c r="BA75" i="1"/>
  <c r="AU70" i="1"/>
  <c r="AQ82" i="1"/>
  <c r="AQ63" i="1"/>
  <c r="BO63" i="1"/>
  <c r="AD64" i="1"/>
  <c r="AU65" i="1"/>
  <c r="BP68" i="1"/>
  <c r="BC69" i="1"/>
  <c r="BP70" i="1"/>
  <c r="AW70" i="1"/>
  <c r="BN70" i="1"/>
  <c r="AU76" i="1"/>
  <c r="BA81" i="1"/>
  <c r="AX82" i="1"/>
  <c r="AQ70" i="1"/>
  <c r="BG70" i="1"/>
  <c r="AH63" i="1"/>
  <c r="BN63" i="1"/>
  <c r="AQ64" i="1"/>
  <c r="BP65" i="1"/>
  <c r="BK68" i="1"/>
  <c r="BA70" i="1"/>
  <c r="AH75" i="1"/>
  <c r="BC81" i="1"/>
  <c r="L168" i="1"/>
  <c r="BN232" i="1"/>
  <c r="BP67" i="1"/>
  <c r="W32" i="1"/>
  <c r="BA68" i="1"/>
  <c r="BO62" i="1"/>
  <c r="BB63" i="1"/>
  <c r="AY64" i="1"/>
  <c r="BB70" i="1"/>
  <c r="AX75" i="1"/>
  <c r="BE82" i="1"/>
  <c r="F169" i="1"/>
  <c r="BE63" i="1"/>
  <c r="BM63" i="1"/>
  <c r="AX70" i="1"/>
  <c r="BB82" i="1"/>
  <c r="BC63" i="1"/>
  <c r="BA64" i="1"/>
  <c r="BO69" i="1"/>
  <c r="BC70" i="1"/>
  <c r="G169" i="1"/>
  <c r="AF176" i="1"/>
  <c r="BI223" i="1"/>
  <c r="BJ223" i="1" s="1"/>
  <c r="BI230" i="1"/>
  <c r="BJ230" i="1" s="1"/>
  <c r="BR232" i="1"/>
  <c r="BS232" i="1" s="1"/>
  <c r="BB78" i="1"/>
  <c r="AY77" i="1"/>
  <c r="BC78" i="1"/>
  <c r="W74" i="1"/>
  <c r="AY74" i="1"/>
  <c r="AW74" i="1"/>
  <c r="AK74" i="1"/>
  <c r="X74" i="1"/>
  <c r="AU74" i="1"/>
  <c r="BN62" i="1"/>
  <c r="AY62" i="1"/>
  <c r="AX74" i="1"/>
  <c r="AB74" i="1"/>
  <c r="BI68" i="1"/>
  <c r="BC77" i="1"/>
  <c r="BG78" i="1"/>
  <c r="BA78" i="1"/>
  <c r="AU78" i="1"/>
  <c r="BG66" i="1"/>
  <c r="AU66" i="1"/>
  <c r="BF66" i="1"/>
  <c r="BB66" i="1"/>
  <c r="AQ78" i="1"/>
  <c r="BE66" i="1"/>
  <c r="BF78" i="1"/>
  <c r="BC66" i="1"/>
  <c r="AQ66" i="1"/>
  <c r="BE78" i="1"/>
  <c r="AY78" i="1"/>
  <c r="AY66" i="1"/>
  <c r="BA66" i="1"/>
  <c r="BC80" i="1"/>
  <c r="BE80" i="1"/>
  <c r="AQ80" i="1"/>
  <c r="BA80" i="1"/>
  <c r="BK80" i="1"/>
  <c r="AY80" i="1"/>
  <c r="Z80" i="1"/>
  <c r="BJ68" i="1"/>
  <c r="AY68" i="1"/>
  <c r="BG68" i="1"/>
  <c r="AU68" i="1"/>
  <c r="BB68" i="1"/>
  <c r="AU80" i="1"/>
  <c r="BF68" i="1"/>
  <c r="BN68" i="1"/>
  <c r="BJ80" i="1"/>
  <c r="BE68" i="1"/>
  <c r="BI80" i="1"/>
  <c r="BO68" i="1"/>
  <c r="BC68" i="1"/>
  <c r="AQ68" i="1"/>
  <c r="BG80" i="1"/>
  <c r="W35" i="1"/>
  <c r="W34" i="1"/>
  <c r="W33" i="1"/>
  <c r="AU77" i="1"/>
  <c r="BJ65" i="1"/>
  <c r="AY65" i="1"/>
  <c r="BK65" i="1"/>
  <c r="BC65" i="1"/>
  <c r="AQ65" i="1"/>
  <c r="BK77" i="1"/>
  <c r="BJ77" i="1"/>
  <c r="AQ77" i="1"/>
  <c r="BI77" i="1"/>
  <c r="BI65" i="1"/>
  <c r="BN66" i="1"/>
  <c r="BF75" i="1"/>
  <c r="AU75" i="1"/>
  <c r="BG75" i="1"/>
  <c r="BC75" i="1"/>
  <c r="AQ75" i="1"/>
  <c r="BB75" i="1"/>
  <c r="AU63" i="1"/>
  <c r="BC220" i="1"/>
  <c r="BE220" i="1" s="1"/>
  <c r="AW63" i="1"/>
  <c r="BG63" i="1"/>
  <c r="AH64" i="1"/>
  <c r="C157" i="1"/>
  <c r="X79" i="1"/>
  <c r="AM75" i="1"/>
  <c r="BI75" i="1"/>
  <c r="BF81" i="1"/>
  <c r="I159" i="1"/>
  <c r="BR227" i="1"/>
  <c r="BS227" i="1" s="1"/>
  <c r="BR234" i="1"/>
  <c r="BS234" i="1" s="1"/>
  <c r="BE75" i="1"/>
  <c r="AX63" i="1"/>
  <c r="BI63" i="1"/>
  <c r="AW76" i="1"/>
  <c r="BB76" i="1"/>
  <c r="AY76" i="1"/>
  <c r="AM76" i="1"/>
  <c r="AX76" i="1"/>
  <c r="AU64" i="1"/>
  <c r="BN64" i="1"/>
  <c r="BJ69" i="1"/>
  <c r="BJ75" i="1"/>
  <c r="BJ81" i="1"/>
  <c r="I160" i="1"/>
  <c r="AF187" i="1"/>
  <c r="BR223" i="1"/>
  <c r="BS223" i="1" s="1"/>
  <c r="BC227" i="1"/>
  <c r="BE227" i="1" s="1"/>
  <c r="BF63" i="1"/>
  <c r="BN234" i="1"/>
  <c r="BI227" i="1"/>
  <c r="BJ227" i="1" s="1"/>
  <c r="BI225" i="1"/>
  <c r="BJ225" i="1" s="1"/>
  <c r="AF181" i="1"/>
  <c r="AF180" i="1"/>
  <c r="AF179" i="1"/>
  <c r="AF178" i="1"/>
  <c r="AF177" i="1"/>
  <c r="E168" i="1"/>
  <c r="BC223" i="1"/>
  <c r="BE223" i="1" s="1"/>
  <c r="AF184" i="1"/>
  <c r="J168" i="1"/>
  <c r="BC232" i="1"/>
  <c r="BE232" i="1" s="1"/>
  <c r="BN230" i="1"/>
  <c r="BR225" i="1"/>
  <c r="BS225" i="1" s="1"/>
  <c r="BC225" i="1"/>
  <c r="BE225" i="1" s="1"/>
  <c r="BN223" i="1"/>
  <c r="AP211" i="1"/>
  <c r="AF183" i="1"/>
  <c r="F168" i="1"/>
  <c r="AF185" i="1"/>
  <c r="C168" i="1"/>
  <c r="AY63" i="1"/>
  <c r="BJ63" i="1"/>
  <c r="AW64" i="1"/>
  <c r="BO64" i="1"/>
  <c r="BK75" i="1"/>
  <c r="AQ76" i="1"/>
  <c r="AF182" i="1"/>
  <c r="AF186" i="1"/>
  <c r="BI220" i="1"/>
  <c r="BJ220" i="1" s="1"/>
  <c r="BN225" i="1"/>
  <c r="BR230" i="1"/>
  <c r="BS230" i="1" s="1"/>
  <c r="BC234" i="1"/>
  <c r="BE234" i="1" s="1"/>
  <c r="BA63" i="1"/>
  <c r="BK63" i="1"/>
  <c r="AX64" i="1"/>
  <c r="BE81" i="1"/>
  <c r="BK81" i="1"/>
  <c r="AY81" i="1"/>
  <c r="BI81" i="1"/>
  <c r="AW81" i="1"/>
  <c r="BG81" i="1"/>
  <c r="BI69" i="1"/>
  <c r="AW69" i="1"/>
  <c r="BM69" i="1"/>
  <c r="AW75" i="1"/>
  <c r="H168" i="1"/>
  <c r="BC230" i="1"/>
  <c r="BE230" i="1" s="1"/>
  <c r="AY82" i="1"/>
  <c r="BE70" i="1"/>
  <c r="AY70" i="1"/>
  <c r="BO70" i="1"/>
  <c r="AU82" i="1"/>
  <c r="BG82" i="1"/>
  <c r="AW82" i="1"/>
  <c r="BA82" i="1"/>
  <c r="AI85" i="1" l="1"/>
  <c r="AR73" i="1"/>
  <c r="K111" i="1" s="1"/>
  <c r="Z93" i="1" s="1"/>
  <c r="AN73" i="1"/>
  <c r="K104" i="1" s="1"/>
  <c r="Z92" i="1" s="1"/>
  <c r="AI73" i="1"/>
  <c r="K97" i="1" s="1"/>
  <c r="Z91" i="1" s="1"/>
  <c r="AE73" i="1"/>
  <c r="K90" i="1" s="1"/>
  <c r="Z90" i="1" s="1"/>
  <c r="W36" i="1"/>
  <c r="I19" i="1" s="1"/>
  <c r="W29" i="1" s="1"/>
  <c r="BM73" i="1"/>
  <c r="C158" i="1" s="1"/>
  <c r="W85" i="1"/>
  <c r="Y85" i="1"/>
  <c r="BV211" i="1" s="1"/>
  <c r="AP85" i="1"/>
  <c r="BV222" i="1" s="1"/>
  <c r="BC85" i="1"/>
  <c r="BO232" i="1"/>
  <c r="Z183" i="1"/>
  <c r="BM227" i="1" s="1"/>
  <c r="BO227" i="1" s="1"/>
  <c r="Z184" i="1"/>
  <c r="AT192" i="1" s="1"/>
  <c r="AT185" i="1" s="1"/>
  <c r="BM223" i="1" s="1"/>
  <c r="BO223" i="1" s="1"/>
  <c r="Z180" i="1"/>
  <c r="AT190" i="1" s="1"/>
  <c r="AS186" i="1"/>
  <c r="AT189" i="1"/>
  <c r="AS185" i="1"/>
  <c r="Z178" i="1"/>
  <c r="AT188" i="1" s="1"/>
  <c r="BO234" i="1"/>
  <c r="BO230" i="1"/>
  <c r="BO225" i="1"/>
  <c r="AA73" i="1"/>
  <c r="K83" i="1" s="1"/>
  <c r="K82" i="1" s="1"/>
  <c r="BB73" i="1"/>
  <c r="D132" i="1" s="1"/>
  <c r="U133" i="1" s="1"/>
  <c r="AT73" i="1"/>
  <c r="D118" i="1" s="1"/>
  <c r="U119" i="1" s="1"/>
  <c r="AO85" i="1"/>
  <c r="AH73" i="1"/>
  <c r="I97" i="1" s="1"/>
  <c r="Y91" i="1" s="1"/>
  <c r="BE73" i="1"/>
  <c r="C139" i="1" s="1"/>
  <c r="AL73" i="1"/>
  <c r="D104" i="1" s="1"/>
  <c r="U108" i="1" s="1"/>
  <c r="BO73" i="1"/>
  <c r="C161" i="1" s="1"/>
  <c r="AK73" i="1"/>
  <c r="C104" i="1" s="1"/>
  <c r="AQ85" i="1"/>
  <c r="AU73" i="1"/>
  <c r="I118" i="1" s="1"/>
  <c r="Y94" i="1" s="1"/>
  <c r="Y73" i="1"/>
  <c r="D83" i="1" s="1"/>
  <c r="U88" i="1" s="1"/>
  <c r="W88" i="1" s="1"/>
  <c r="AS73" i="1"/>
  <c r="C118" i="1" s="1"/>
  <c r="BE85" i="1"/>
  <c r="BG73" i="1"/>
  <c r="I139" i="1" s="1"/>
  <c r="Y97" i="1" s="1"/>
  <c r="BA73" i="1"/>
  <c r="C132" i="1" s="1"/>
  <c r="BA85" i="1"/>
  <c r="AC85" i="1"/>
  <c r="BV213" i="1" s="1"/>
  <c r="AH85" i="1"/>
  <c r="AF85" i="1"/>
  <c r="BU216" i="1" s="1"/>
  <c r="AT85" i="1"/>
  <c r="BV224" i="1" s="1"/>
  <c r="AS85" i="1"/>
  <c r="Y104" i="1"/>
  <c r="Z104" i="1"/>
  <c r="AG85" i="1"/>
  <c r="BV216" i="1" s="1"/>
  <c r="BK85" i="1"/>
  <c r="AW73" i="1"/>
  <c r="C125" i="1" s="1"/>
  <c r="AD73" i="1"/>
  <c r="I90" i="1" s="1"/>
  <c r="Y90" i="1" s="1"/>
  <c r="X85" i="1"/>
  <c r="BU211" i="1" s="1"/>
  <c r="AQ211" i="1" s="1"/>
  <c r="BJ85" i="1"/>
  <c r="BV233" i="1" s="1"/>
  <c r="BI85" i="1"/>
  <c r="BG85" i="1"/>
  <c r="AB73" i="1"/>
  <c r="C90" i="1" s="1"/>
  <c r="AO73" i="1"/>
  <c r="C111" i="1" s="1"/>
  <c r="X73" i="1"/>
  <c r="C83" i="1" s="1"/>
  <c r="AK85" i="1"/>
  <c r="AB85" i="1"/>
  <c r="BU213" i="1" s="1"/>
  <c r="AF73" i="1"/>
  <c r="C97" i="1" s="1"/>
  <c r="AW85" i="1"/>
  <c r="BI73" i="1"/>
  <c r="C146" i="1" s="1"/>
  <c r="AM73" i="1"/>
  <c r="I104" i="1" s="1"/>
  <c r="Y92" i="1" s="1"/>
  <c r="W73" i="1"/>
  <c r="BN73" i="1"/>
  <c r="C159" i="1" s="1"/>
  <c r="AM85" i="1"/>
  <c r="AX85" i="1"/>
  <c r="BV226" i="1" s="1"/>
  <c r="AU85" i="1"/>
  <c r="BJ73" i="1"/>
  <c r="D146" i="1" s="1"/>
  <c r="U150" i="1" s="1"/>
  <c r="AG73" i="1"/>
  <c r="D97" i="1" s="1"/>
  <c r="U102" i="1" s="1"/>
  <c r="Z73" i="1"/>
  <c r="I83" i="1" s="1"/>
  <c r="Y89" i="1" s="1"/>
  <c r="BB85" i="1"/>
  <c r="BV229" i="1" s="1"/>
  <c r="AY73" i="1"/>
  <c r="I125" i="1" s="1"/>
  <c r="Y95" i="1" s="1"/>
  <c r="BC73" i="1"/>
  <c r="I132" i="1" s="1"/>
  <c r="Y96" i="1" s="1"/>
  <c r="AC73" i="1"/>
  <c r="D90" i="1" s="1"/>
  <c r="U92" i="1" s="1"/>
  <c r="AD85" i="1"/>
  <c r="AQ73" i="1"/>
  <c r="I111" i="1" s="1"/>
  <c r="Y93" i="1" s="1"/>
  <c r="Z85" i="1"/>
  <c r="BK73" i="1"/>
  <c r="I146" i="1" s="1"/>
  <c r="Y98" i="1" s="1"/>
  <c r="BF73" i="1"/>
  <c r="D139" i="1" s="1"/>
  <c r="U142" i="1" s="1"/>
  <c r="BF85" i="1"/>
  <c r="BV231" i="1" s="1"/>
  <c r="AX73" i="1"/>
  <c r="D125" i="1" s="1"/>
  <c r="U126" i="1" s="1"/>
  <c r="AP73" i="1"/>
  <c r="D111" i="1" s="1"/>
  <c r="U112" i="1" s="1"/>
  <c r="AL85" i="1"/>
  <c r="BV218" i="1" s="1"/>
  <c r="AY85" i="1"/>
  <c r="V88" i="1" l="1"/>
  <c r="T151" i="1"/>
  <c r="W102" i="1"/>
  <c r="W96" i="1"/>
  <c r="V133" i="1"/>
  <c r="W142" i="1"/>
  <c r="CA231" i="1" s="1"/>
  <c r="N85" i="1"/>
  <c r="M85" i="1"/>
  <c r="AA92" i="1"/>
  <c r="CA211" i="1"/>
  <c r="M92" i="1"/>
  <c r="N92" i="1"/>
  <c r="V102" i="1"/>
  <c r="W119" i="1"/>
  <c r="CA224" i="1" s="1"/>
  <c r="AA90" i="1"/>
  <c r="Z89" i="1"/>
  <c r="AA89" i="1" s="1"/>
  <c r="W41" i="1"/>
  <c r="W42" i="1"/>
  <c r="X92" i="1"/>
  <c r="N106" i="1"/>
  <c r="M106" i="1"/>
  <c r="X93" i="1"/>
  <c r="M113" i="1"/>
  <c r="N113" i="1"/>
  <c r="X97" i="1"/>
  <c r="M141" i="1"/>
  <c r="N141" i="1"/>
  <c r="X95" i="1"/>
  <c r="M127" i="1"/>
  <c r="N127" i="1"/>
  <c r="X90" i="1"/>
  <c r="X89" i="1"/>
  <c r="X91" i="1"/>
  <c r="M99" i="1"/>
  <c r="N99" i="1"/>
  <c r="N120" i="1"/>
  <c r="M120" i="1"/>
  <c r="M122" i="1"/>
  <c r="X98" i="1"/>
  <c r="N148" i="1"/>
  <c r="M148" i="1"/>
  <c r="X96" i="1"/>
  <c r="N134" i="1"/>
  <c r="M134" i="1"/>
  <c r="X94" i="1"/>
  <c r="W108" i="1"/>
  <c r="AT184" i="1"/>
  <c r="BM220" i="1" s="1"/>
  <c r="BO220" i="1" s="1"/>
  <c r="AQ213" i="1"/>
  <c r="BY210" i="1"/>
  <c r="CA210" i="1"/>
  <c r="AS211" i="1"/>
  <c r="AR211" i="1"/>
  <c r="X105" i="1"/>
  <c r="Y105" i="1" s="1"/>
  <c r="Z105" i="1" s="1"/>
  <c r="X104" i="1"/>
  <c r="BU233" i="1"/>
  <c r="V119" i="1"/>
  <c r="BU231" i="1"/>
  <c r="CB231" i="1" s="1"/>
  <c r="BU218" i="1"/>
  <c r="BU224" i="1"/>
  <c r="CB224" i="1" s="1"/>
  <c r="BU229" i="1"/>
  <c r="CB229" i="1" s="1"/>
  <c r="W133" i="1"/>
  <c r="CA229" i="1" s="1"/>
  <c r="V142" i="1"/>
  <c r="V126" i="1"/>
  <c r="W126" i="1"/>
  <c r="CA226" i="1" s="1"/>
  <c r="BU226" i="1"/>
  <c r="W150" i="1"/>
  <c r="CA233" i="1" s="1"/>
  <c r="V150" i="1"/>
  <c r="AQ212" i="1"/>
  <c r="AR212" i="1" s="1"/>
  <c r="CB213" i="1"/>
  <c r="V112" i="1"/>
  <c r="W112" i="1"/>
  <c r="CA222" i="1" s="1"/>
  <c r="BU222" i="1"/>
  <c r="CB211" i="1"/>
  <c r="BY231" i="1" l="1"/>
  <c r="BY224" i="1"/>
  <c r="W97" i="1"/>
  <c r="CA218" i="1"/>
  <c r="CA216" i="1"/>
  <c r="BQ200" i="1"/>
  <c r="W43" i="1"/>
  <c r="I74" i="1" s="1"/>
  <c r="W45" i="1"/>
  <c r="BU205" i="1" s="1"/>
  <c r="T154" i="1"/>
  <c r="T152" i="1"/>
  <c r="AD126" i="1" s="1"/>
  <c r="V108" i="1"/>
  <c r="BY226" i="1"/>
  <c r="CB216" i="1"/>
  <c r="AR213" i="1"/>
  <c r="AS213" i="1"/>
  <c r="BY222" i="1"/>
  <c r="BY218" i="1"/>
  <c r="BY229" i="1"/>
  <c r="BY233" i="1"/>
  <c r="BY211" i="1"/>
  <c r="AQ215" i="1"/>
  <c r="AQ214" i="1"/>
  <c r="AS212" i="1"/>
  <c r="CB233" i="1"/>
  <c r="AQ220" i="1"/>
  <c r="AS220" i="1" s="1"/>
  <c r="AQ219" i="1"/>
  <c r="AS219" i="1" s="1"/>
  <c r="AQ216" i="1"/>
  <c r="AS216" i="1" s="1"/>
  <c r="AQ218" i="1"/>
  <c r="AS218" i="1" s="1"/>
  <c r="CB218" i="1"/>
  <c r="CB222" i="1"/>
  <c r="AT212" i="1"/>
  <c r="AT213" i="1"/>
  <c r="AT211" i="1"/>
  <c r="AQ217" i="1"/>
  <c r="AS217" i="1" s="1"/>
  <c r="CB226" i="1"/>
  <c r="V92" i="1" l="1"/>
  <c r="V151" i="1" s="1"/>
  <c r="X134" i="1" s="1"/>
  <c r="W92" i="1"/>
  <c r="AD132" i="1"/>
  <c r="AE126" i="1"/>
  <c r="AC126" i="1"/>
  <c r="AE131" i="1"/>
  <c r="AE125" i="1"/>
  <c r="AD125" i="1"/>
  <c r="AC131" i="1"/>
  <c r="AD131" i="1"/>
  <c r="AC132" i="1"/>
  <c r="AE132" i="1"/>
  <c r="AC125" i="1"/>
  <c r="BY216" i="1"/>
  <c r="AR215" i="1"/>
  <c r="AS215" i="1"/>
  <c r="AS214" i="1"/>
  <c r="AV214" i="1"/>
  <c r="AT214" i="1"/>
  <c r="AV215" i="1"/>
  <c r="AV218" i="1"/>
  <c r="AR218" i="1"/>
  <c r="AR214" i="1"/>
  <c r="AV217" i="1"/>
  <c r="AR217" i="1"/>
  <c r="AV216" i="1"/>
  <c r="AR216" i="1"/>
  <c r="AV219" i="1"/>
  <c r="AR219" i="1"/>
  <c r="AV220" i="1"/>
  <c r="AR220" i="1"/>
  <c r="AT218" i="1"/>
  <c r="AT216" i="1"/>
  <c r="AT219" i="1"/>
  <c r="AT220" i="1"/>
  <c r="AT215" i="1"/>
  <c r="AT217" i="1"/>
  <c r="CA213" i="1" l="1"/>
  <c r="BY213" i="1"/>
  <c r="AB134" i="1"/>
  <c r="AB136" i="1" s="1"/>
  <c r="AB137" i="1" s="1"/>
  <c r="AB138" i="1" s="1"/>
  <c r="AB139" i="1" s="1"/>
  <c r="AB142" i="1" s="1"/>
  <c r="AB143" i="1" s="1"/>
  <c r="AB144" i="1" s="1"/>
  <c r="AB145" i="1" s="1"/>
  <c r="AB146" i="1" s="1"/>
  <c r="AB150" i="1" s="1"/>
  <c r="AF126" i="1"/>
  <c r="AF131" i="1"/>
  <c r="AF132" i="1"/>
  <c r="AF125" i="1"/>
  <c r="X136" i="1"/>
  <c r="X137" i="1" s="1"/>
  <c r="X138" i="1" s="1"/>
  <c r="X139" i="1" s="1"/>
  <c r="X142" i="1" s="1"/>
  <c r="X143" i="1" s="1"/>
  <c r="X144" i="1" s="1"/>
  <c r="X145" i="1" s="1"/>
  <c r="X146" i="1" s="1"/>
  <c r="X150" i="1" s="1"/>
  <c r="U151" i="1" l="1"/>
  <c r="AF129" i="1"/>
  <c r="AC134" i="1" s="1"/>
  <c r="AF133" i="1"/>
  <c r="AC136" i="1" s="1"/>
  <c r="U152" i="1" l="1"/>
  <c r="U153" i="1" s="1"/>
  <c r="BU236" i="1" l="1"/>
</calcChain>
</file>

<file path=xl/sharedStrings.xml><?xml version="1.0" encoding="utf-8"?>
<sst xmlns="http://schemas.openxmlformats.org/spreadsheetml/2006/main" count="147" uniqueCount="137">
  <si>
    <t>- Velg -</t>
  </si>
  <si>
    <t>Halvharde gulvbelegg, tekstile gulvbelegg og laminatgulv</t>
  </si>
  <si>
    <t>Trekonstruksjoner:</t>
  </si>
  <si>
    <t>Testkrav:</t>
  </si>
  <si>
    <t>2. EN 13999-2:2007 – VOC (flyktige organiske forbindelser)</t>
  </si>
  <si>
    <t>3. EN 13999-3:2007 – Flyktige aldehyder</t>
  </si>
  <si>
    <t>4. EN 13999-4:2007 – Flyktige diisocyanater</t>
  </si>
  <si>
    <t>5. EN 12149:1997</t>
  </si>
  <si>
    <t>Tapet</t>
  </si>
  <si>
    <t>HEA 9</t>
  </si>
  <si>
    <t>Produkt:</t>
  </si>
  <si>
    <t xml:space="preserve">Ferdig utfylt skjema undertegnes av en juridisk ansvarlig person hos produsent, f.eks. teknisk sjef eller daglig leder. </t>
  </si>
  <si>
    <t xml:space="preserve">Det er viktig at opplysningene som oppgis her er korrekte, og det oppfordres til grundighet når man undersøker hvorvidt emisjonstester og/eller testrapporter viser at produktet tilfredsstiller de standardene og emisjonsgrensene som BREEAM-NOR har satt. </t>
  </si>
  <si>
    <r>
      <t xml:space="preserve">Ferdig utfylt skjema undertegnes av en </t>
    </r>
    <r>
      <rPr>
        <i/>
        <sz val="11"/>
        <color theme="1"/>
        <rFont val="Calibri"/>
        <family val="2"/>
        <scheme val="minor"/>
      </rPr>
      <t>juridisk ansvarlig person</t>
    </r>
    <r>
      <rPr>
        <sz val="11"/>
        <color theme="1"/>
        <rFont val="Calibri"/>
        <family val="2"/>
        <scheme val="minor"/>
      </rPr>
      <t xml:space="preserve"> hos produsent, f.eks. teknisk sjef eller daglig leder. Stoffer som skal unngås kan ikke finnes i produktet, verken i fri, i bunden eller i naturlig form. </t>
    </r>
  </si>
  <si>
    <t>Juridisk ansvarlig:</t>
  </si>
  <si>
    <t>Stilling:</t>
  </si>
  <si>
    <t>Dato:</t>
  </si>
  <si>
    <t>Registreringsdato for prosjektet:</t>
  </si>
  <si>
    <t>Note 1</t>
  </si>
  <si>
    <t>Note 2</t>
  </si>
  <si>
    <t>Note 3</t>
  </si>
  <si>
    <t xml:space="preserve">1. EN 717-1:2004 </t>
  </si>
  <si>
    <t>Testkrav:
1. EN 717-1:2004</t>
  </si>
  <si>
    <t>2. EN 13999-2:2007 – VOC (flyktige organiske forbindelser)
3. EN 13999-3:2007 – Flyktige aldehyder</t>
  </si>
  <si>
    <t>4. EN 13999-4:2007 – Flyktige diisocyanater
5. EN 12149:1997</t>
  </si>
  <si>
    <t>Produsent:</t>
  </si>
  <si>
    <t>Handelsnavn:</t>
  </si>
  <si>
    <t>Jeg bekrefter at ovennevnte opplysninger er korrekte og gitt etter beste evne, og er klar over at feilaktige og/eller villedende opplysninger kan få juridiske konsekvenser.</t>
  </si>
  <si>
    <t>e</t>
  </si>
  <si>
    <t>h</t>
  </si>
  <si>
    <t>f</t>
  </si>
  <si>
    <t>j</t>
  </si>
  <si>
    <t>g</t>
  </si>
  <si>
    <t>b</t>
  </si>
  <si>
    <t>Nei</t>
  </si>
  <si>
    <t>Ja</t>
  </si>
  <si>
    <t>a</t>
  </si>
  <si>
    <t>c</t>
  </si>
  <si>
    <t>d</t>
  </si>
  <si>
    <t>i</t>
  </si>
  <si>
    <t>k</t>
  </si>
  <si>
    <t>l</t>
  </si>
  <si>
    <t>mg/m²h</t>
  </si>
  <si>
    <t>mg/m³</t>
  </si>
  <si>
    <t>Kommentarer:</t>
  </si>
  <si>
    <t>A20</t>
  </si>
  <si>
    <t>Type deklarasjon:</t>
  </si>
  <si>
    <t>Tilbake til utfylling</t>
  </si>
  <si>
    <t>Type</t>
  </si>
  <si>
    <t>Handelsnavn</t>
  </si>
  <si>
    <t>VOC-innhold</t>
  </si>
  <si>
    <t>Svanen</t>
  </si>
  <si>
    <t>Signatur juridisk ansvarlig hos produsent:</t>
  </si>
  <si>
    <t>bruker inndelingen over på maling og lakk. Vi ber om at samme inndeling av type (a, b, c,..., l) benyttes i kolonne 2 i tabellen der produktinformasjon deklareres.</t>
  </si>
  <si>
    <t>EUs malingsdirektiv (2004/42/EC) og forskrift om begrensning i bruk av helse- og miljøfarlige kjemikalier og andre produkter (produktforskriften) vedlegg VII</t>
  </si>
  <si>
    <t>til § 2-24 til § 2-26 om organiske forbindelser i maling- og lakkeringsprodukter</t>
  </si>
  <si>
    <t>For faste bygningsprodukter vil godkjent dokumentasjon være ett av følgende:</t>
  </si>
  <si>
    <t>Er produsenten i tvil, bør man benytte egne interne og eksterne konsulenter.</t>
  </si>
  <si>
    <t>k) Flerfargede malinger
l) Effektmaling</t>
  </si>
  <si>
    <t>i) Enkomponent spesialmaling
j) Tokomponent spesialmaling</t>
  </si>
  <si>
    <t>g) Grunning
h) Heftgrunning</t>
  </si>
  <si>
    <t>c) Utendørs maling for mineralske flater
d) Maling for treverk, metall og plast innendørs/utendørs
e) Lakk, lasur og beis for innendørs/utendørs behandling av tre, metall og plast
f) Tynnsjiktet lasur, olje eller beis</t>
  </si>
  <si>
    <t>a) Matt innendørs vegg- og takmaling (glansgrad ≤ 25 @ 60°).
b) Blank innendørs vegg- og takmaling (glansgrad &gt; 25 @ 60°).</t>
  </si>
  <si>
    <t>Under grenseverdien *</t>
  </si>
  <si>
    <t xml:space="preserve"> All interiørmaling og lakk er dessuten også motstandsdyktig mot sopp og alger (før påføring).</t>
  </si>
  <si>
    <t xml:space="preserve">* Interiørmaling og lakk har blitt testet mot EN ISO 11890-2:2006 Malinger og lakk. Bestemmelse av VOC-innhold (flyktige organiske forbindelser). Gasskromatografisk metode og tilfredsstiller de maksimale grenseverdiene for VOC-innhold i fase II som fastsatt i tillegg II til direktiv 2004/42/EC om interiørmaling. </t>
  </si>
  <si>
    <t>g/l</t>
  </si>
  <si>
    <t>Det finnes to stoffer på listen som ikke oppfyller dokumentasjonskravet. Produktet/produktene tilfredsstiller derfor ikke A20-kravene til BREEAM-NOR.</t>
  </si>
  <si>
    <t>Det finnes tre stoffer på listen som ikke oppfyller dokumentasjonskravet. Produktet/produktene tilfredsstiller derfor ikke A20-kravene til BREEAM-NOR.</t>
  </si>
  <si>
    <t>Det finnes fire stoffer på listen som ikke oppfyller dokumentasjonskravet. Produktet/produktene tilfredsstiller derfor ikke A20-kravene til BREEAM-NOR.</t>
  </si>
  <si>
    <t>Det finnes fem stoffer på listen som ikke oppfyller dokumentasjonskravet. Produktet/produktene tilfredsstiller derfor ikke A20-kravene til BREEAM-NOR.</t>
  </si>
  <si>
    <t>Det finnes seks stoffer på listen som ikke oppfyller dokumentasjonskravet. Produktet/produktene tilfredsstiller derfor ikke A20-kravene til BREEAM-NOR.</t>
  </si>
  <si>
    <t>Det finnes syv stoffer på listen som ikke oppfyller dokumentasjonskravet. Produktet/produktene tilfredsstiller derfor ikke A20-kravene til BREEAM-NOR.</t>
  </si>
  <si>
    <t>Det finnes åtte stoffer på listen som ikke oppfyller dokumentasjonskravet. Produktet/produktene tilfredsstiller derfor ikke A20-kravene til BREEAM-NOR.</t>
  </si>
  <si>
    <t>Det finnes ni stoffer på listen som ikke oppfyller dokumentasjonskravet. Produktet/produktene tilfredsstiller derfor ikke A20-kravene til BREEAM-NOR.</t>
  </si>
  <si>
    <t>Det finnes ti stoffer på listen som ikke oppfyller dokumentasjonskravet. Produktet/produktene tilfredsstiller derfor ikke A20-kravene til BREEAM-NOR.</t>
  </si>
  <si>
    <t>²⁾</t>
  </si>
  <si>
    <t xml:space="preserve">Konsentrasjoner under grenseverdien på ≤ 0,1 % godtas. Det er forutsatt at informasjonen i A20-listen er kjent. Bemerk dato på deklarasjonsskjema må samsvare med gjeldende prosessnotat i det angitte tidsrom. </t>
  </si>
  <si>
    <t>&lt; 0,1 %</t>
  </si>
  <si>
    <t>Vannbasert</t>
  </si>
  <si>
    <t>Løsemiddelbasert</t>
  </si>
  <si>
    <t>Trebaserte plater:</t>
  </si>
  <si>
    <t>Egendeklarasjon</t>
  </si>
  <si>
    <t>Teknisk manual 2012</t>
  </si>
  <si>
    <t>Teknisk manual 2016</t>
  </si>
  <si>
    <t>Utgivelse teknisk manual:</t>
  </si>
  <si>
    <t>1 = velg manual, 2 = 2012, 3 = 2016</t>
  </si>
  <si>
    <t>HEA9</t>
  </si>
  <si>
    <t>Egendeklarasjon på at produkter tilfredsstiller krav i BREEAM-NOR versjon 1.0 (14.03.12)</t>
  </si>
  <si>
    <t>Versjon 1:</t>
  </si>
  <si>
    <t>Versjon 2:</t>
  </si>
  <si>
    <t>S7=2;O51=2;O55=2</t>
  </si>
  <si>
    <t>S7=2;O51=2;O55=3</t>
  </si>
  <si>
    <t>Versjon 3:</t>
  </si>
  <si>
    <t>S7=3;O51=2;O55=2</t>
  </si>
  <si>
    <t>HEA 02</t>
  </si>
  <si>
    <t>A20 01.04.2013 til 31.08.2016</t>
  </si>
  <si>
    <t>A20 14.03.2012 til 30.03.2013</t>
  </si>
  <si>
    <t>A20 etter 31.08.2016</t>
  </si>
  <si>
    <t>¹⁾</t>
  </si>
  <si>
    <t>All polykarbonat inneholder Bisfenol A.</t>
  </si>
  <si>
    <t>Fugemasser</t>
  </si>
  <si>
    <t>Gulvprodukter</t>
  </si>
  <si>
    <t>Innendørsmaling og -lakk som anvendes på stedet og defineres som kategori a,b,d,e,g,h,i, j, k eller ifølge vedlegg I til direktiv 2004/42/EF, skal oppfylle korresponderende øvre grenseverdier for VOC-innhold som definert i vedlegg II/A.</t>
  </si>
  <si>
    <t>dager</t>
  </si>
  <si>
    <t>dager eller 40 μg/m3 etter 28</t>
  </si>
  <si>
    <t>- kreftfremkallende – 4 μg/m3</t>
  </si>
  <si>
    <t>HEA9:</t>
  </si>
  <si>
    <t>HEA2:</t>
  </si>
  <si>
    <t>Treplater:</t>
  </si>
  <si>
    <t>Miljømerket Svanen med unntak av tre- eller linoleumsgulv.</t>
  </si>
  <si>
    <t>Nedsenkede himlingsplater</t>
  </si>
  <si>
    <t>–</t>
  </si>
  <si>
    <t>1. EN 717-1:2004
2. EN 13999-2:2007 – VOC (flyktige organiske forbindelser)
3. EN 13999-3:2007 – Flyktige aldehyder
4. EN 13999-4:2007 – Flyktige diisocyanater
5. EN 12149:1997</t>
  </si>
  <si>
    <t>Det finnes én ytelse på listen som ikke oppfyller dokumentasjonskravet. Produktet/produktene tilfredsstiller derfor ikke kravene til BREEAM-NOR.</t>
  </si>
  <si>
    <t>Det finnes tre ytelser på listen som ikke oppfyller dokumentasjonskravet. Produktet/produktene tilfredsstiller derfor ikke kravene til BREEAM-NOR.</t>
  </si>
  <si>
    <t>Det finnes fire ytelser på listen som ikke oppfyller dokumentasjonskravet. Produktet/produktene tilfredsstiller derfor ikke kravene til BREEAM-NOR.</t>
  </si>
  <si>
    <t>Det finnes fem ytelser på listen som ikke oppfyller dokumentasjonskravet. Produktet/produktene tilfredsstiller derfor ikke kravene til BREEAM-NOR.</t>
  </si>
  <si>
    <t>Det finnes seks ytelser på listen som ikke oppfyller dokumentasjonskravet. Produktet/produktene tilfredsstiller derfor ikke kravene til BREEAM-NOR.</t>
  </si>
  <si>
    <t>Det finnes syv ytelser på listen som ikke oppfyller dokumentasjonskravet. Produktet/produktene tilfredsstiller derfor ikke kravene til BREEAM-NOR.</t>
  </si>
  <si>
    <t>Det finnes åtte ytelser på listen som ikke oppfyller dokumentasjonskravet. Produktet/produktene tilfredsstiller derfor ikke kravene til BREEAM-NOR.</t>
  </si>
  <si>
    <t>Det finnes ni ytelser på listen som ikke oppfyller dokumentasjonskravet. Produktet/produktene tilfredsstiller derfor ikke kravene til BREEAM-NOR.</t>
  </si>
  <si>
    <t>Det finnes ti ytelser på listen som ikke oppfyller dokumentasjonskravet. Produktet/produktene tilfredsstiller derfor ikke kravene til BREEAM-NOR.</t>
  </si>
  <si>
    <t>HEA 9/HEA 02</t>
  </si>
  <si>
    <t>Veggkledninger</t>
  </si>
  <si>
    <t>HEA9 uten maling</t>
  </si>
  <si>
    <t>HEA02</t>
  </si>
  <si>
    <t xml:space="preserve">1. Velg Fil/skriv ut/Adobe PDF
2 . Lagre dokumentet som PDF-fil
3. Skriv ut dokumentet og signer
4. Skann dokumentet, og publiser
</t>
  </si>
  <si>
    <t xml:space="preserve"> Karakter 1 – 6 (grønn eller hvit) iht. ECOproduct (Norsk Byggtjeneste), Sintef Byggforsk Teknisk Godkjenning utarbeidet etter 1. januar 2010, Miljømerket Svanen eller EU-blomsten. For kjemiske produkter kan man også sjekke opp mot sikkerhetsdatabladet (SDS) for produktet.</t>
  </si>
  <si>
    <t>Versjon 3.1
Tilrettelagt av</t>
  </si>
  <si>
    <t>S62;</t>
  </si>
  <si>
    <t>S65;S66;67;S68</t>
  </si>
  <si>
    <t>Stor</t>
  </si>
  <si>
    <t>Liten</t>
  </si>
  <si>
    <t>Resten av S</t>
  </si>
  <si>
    <t xml:space="preserve">S62 </t>
  </si>
  <si>
    <t>S69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</si>
</sst>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1"/>
      <color theme="1"/>
      <name val="Calibri"/>
      <family val="2"/>
      <scheme val="minor"/>
    </font>
    <font>
      <vertAlign val="superscript"/>
      <sz val="8"/>
      <color theme="1"/>
      <name val="Arial"/>
      <family val="2"/>
    </font>
    <font>
      <u/>
      <sz val="11"/>
      <color theme="10"/>
      <name val="Calibri"/>
      <family val="2"/>
      <scheme val="minor"/>
    </font>
    <font>
      <sz val="11"/>
      <color theme="1"/>
      <name val="Calibri"/>
      <family val="2"/>
    </font>
    <font>
      <i/>
      <sz val="11"/>
      <color theme="1"/>
      <name val="Calibri"/>
      <family val="2"/>
      <scheme val="minor"/>
    </font>
    <font>
      <b/>
      <sz val="14"/>
      <color theme="1"/>
      <name val="Calibri"/>
      <family val="2"/>
      <scheme val="minor"/>
    </font>
    <font>
      <sz val="10"/>
      <color theme="1"/>
      <name val="Calibri"/>
      <family val="2"/>
      <scheme val="minor"/>
    </font>
    <font>
      <vertAlign val="superscript"/>
      <sz val="11"/>
      <color theme="1"/>
      <name val="Calibri"/>
      <family val="2"/>
    </font>
    <font>
      <b/>
      <sz val="12"/>
      <color theme="1"/>
      <name val="Calibri"/>
      <family val="2"/>
      <scheme val="minor"/>
    </font>
    <font>
      <b/>
      <sz val="16"/>
      <color theme="1"/>
      <name val="Calibri"/>
      <family val="2"/>
      <scheme val="minor"/>
    </font>
    <font>
      <sz val="8"/>
      <color theme="1"/>
      <name val="Calibri"/>
      <family val="2"/>
      <scheme val="minor"/>
    </font>
    <font>
      <b/>
      <sz val="10"/>
      <color theme="1"/>
      <name val="Calibri"/>
      <family val="2"/>
      <scheme val="minor"/>
    </font>
    <font>
      <sz val="11"/>
      <color rgb="FF004C99"/>
      <name val="Helvetica Neue"/>
      <charset val="1"/>
    </font>
    <font>
      <i/>
      <sz val="9"/>
      <color theme="1"/>
      <name val="Calibri"/>
      <family val="2"/>
      <scheme val="minor"/>
    </font>
    <font>
      <i/>
      <sz val="8"/>
      <color theme="9" tint="-0.499984740745262"/>
      <name val="Calibri"/>
      <family val="2"/>
      <scheme val="minor"/>
    </font>
    <font>
      <sz val="11"/>
      <color rgb="FF333333"/>
      <name val="Helvetica Neue"/>
      <charset val="1"/>
    </font>
    <font>
      <i/>
      <sz val="11"/>
      <color rgb="FF333333"/>
      <name val="Helvetica Neue"/>
      <charset val="1"/>
    </font>
    <font>
      <sz val="11"/>
      <color theme="0"/>
      <name val="Calibri"/>
      <family val="2"/>
      <scheme val="minor"/>
    </font>
    <font>
      <sz val="10"/>
      <name val="Arial"/>
      <family val="2"/>
    </font>
    <font>
      <b/>
      <sz val="11"/>
      <color theme="0"/>
      <name val="Calibri"/>
      <family val="2"/>
      <scheme val="minor"/>
    </font>
    <font>
      <sz val="11"/>
      <color theme="1"/>
      <name val="Arial"/>
      <family val="2"/>
    </font>
    <font>
      <b/>
      <u/>
      <sz val="14"/>
      <color theme="0"/>
      <name val="Calibri"/>
      <family val="2"/>
      <scheme val="minor"/>
    </font>
    <font>
      <i/>
      <sz val="12"/>
      <color theme="1"/>
      <name val="Calibri"/>
      <family val="2"/>
      <scheme val="minor"/>
    </font>
    <font>
      <b/>
      <i/>
      <sz val="8"/>
      <color theme="0"/>
      <name val="Calibri"/>
      <family val="2"/>
      <scheme val="minor"/>
    </font>
    <font>
      <b/>
      <i/>
      <sz val="11"/>
      <color theme="0"/>
      <name val="Calibri"/>
      <family val="2"/>
      <scheme val="minor"/>
    </font>
    <font>
      <u/>
      <sz val="11"/>
      <color theme="1"/>
      <name val="Calibri"/>
      <family val="2"/>
      <scheme val="minor"/>
    </font>
    <font>
      <b/>
      <sz val="12"/>
      <color theme="0"/>
      <name val="Calibri"/>
      <family val="2"/>
      <scheme val="minor"/>
    </font>
    <font>
      <i/>
      <sz val="12"/>
      <color theme="0"/>
      <name val="Calibri"/>
      <family val="2"/>
      <scheme val="minor"/>
    </font>
    <font>
      <sz val="12"/>
      <color theme="0"/>
      <name val="Calibri"/>
      <family val="2"/>
      <scheme val="minor"/>
    </font>
    <font>
      <u/>
      <sz val="11"/>
      <color theme="0"/>
      <name val="Calibri"/>
      <family val="2"/>
      <scheme val="minor"/>
    </font>
    <font>
      <b/>
      <i/>
      <sz val="12"/>
      <color theme="0"/>
      <name val="Calibri"/>
      <family val="2"/>
      <scheme val="minor"/>
    </font>
    <font>
      <b/>
      <i/>
      <sz val="10"/>
      <color theme="0"/>
      <name val="Calibri"/>
      <family val="2"/>
      <scheme val="minor"/>
    </font>
    <font>
      <b/>
      <i/>
      <sz val="9"/>
      <color theme="0"/>
      <name val="Calibri"/>
      <family val="2"/>
      <scheme val="minor"/>
    </font>
    <font>
      <i/>
      <sz val="12"/>
      <color rgb="FF9CC4C0"/>
      <name val="Calibri"/>
      <family val="2"/>
      <scheme val="minor"/>
    </font>
    <font>
      <vertAlign val="superscript"/>
      <sz val="11"/>
      <color theme="1"/>
      <name val="Calibri"/>
      <family val="2"/>
      <scheme val="minor"/>
    </font>
    <font>
      <sz val="12"/>
      <color theme="1"/>
      <name val="Calibri"/>
      <family val="2"/>
      <scheme val="minor"/>
    </font>
    <font>
      <sz val="1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D0EBB3"/>
        <bgColor indexed="64"/>
      </patternFill>
    </fill>
    <fill>
      <patternFill patternType="solid">
        <fgColor rgb="FFE9F5DB"/>
        <bgColor indexed="64"/>
      </patternFill>
    </fill>
    <fill>
      <patternFill patternType="solid">
        <fgColor rgb="FF92D050"/>
        <bgColor indexed="64"/>
      </patternFill>
    </fill>
    <fill>
      <patternFill patternType="solid">
        <fgColor rgb="FF3D6864"/>
        <bgColor indexed="64"/>
      </patternFill>
    </fill>
    <fill>
      <patternFill patternType="solid">
        <fgColor rgb="FFDBFFFF"/>
        <bgColor indexed="64"/>
      </patternFill>
    </fill>
    <fill>
      <patternFill patternType="solid">
        <fgColor theme="0" tint="-4.9989318521683403E-2"/>
        <bgColor indexed="64"/>
      </patternFill>
    </fill>
    <fill>
      <patternFill patternType="solid">
        <fgColor rgb="FF15FFFF"/>
        <bgColor indexed="64"/>
      </patternFill>
    </fill>
    <fill>
      <patternFill patternType="solid">
        <fgColor rgb="FFE6F0F0"/>
        <bgColor indexed="64"/>
      </patternFill>
    </fill>
    <fill>
      <patternFill patternType="solid">
        <fgColor rgb="FFE6F028"/>
        <bgColor indexed="64"/>
      </patternFill>
    </fill>
  </fills>
  <borders count="28">
    <border>
      <left/>
      <right/>
      <top/>
      <bottom/>
      <diagonal/>
    </border>
    <border>
      <left/>
      <right/>
      <top/>
      <bottom style="thin">
        <color indexed="64"/>
      </bottom>
      <diagonal/>
    </border>
    <border>
      <left/>
      <right/>
      <top style="thin">
        <color indexed="64"/>
      </top>
      <bottom/>
      <diagonal/>
    </border>
    <border>
      <left/>
      <right style="thin">
        <color theme="0" tint="-0.499984740745262"/>
      </right>
      <top/>
      <bottom/>
      <diagonal/>
    </border>
    <border>
      <left/>
      <right style="medium">
        <color rgb="FF9CC4C0"/>
      </right>
      <top/>
      <bottom/>
      <diagonal/>
    </border>
    <border>
      <left/>
      <right/>
      <top/>
      <bottom style="medium">
        <color rgb="FF9CC4C0"/>
      </bottom>
      <diagonal/>
    </border>
    <border>
      <left/>
      <right style="medium">
        <color rgb="FF9CC4C0"/>
      </right>
      <top/>
      <bottom style="medium">
        <color rgb="FF9CC4C0"/>
      </bottom>
      <diagonal/>
    </border>
    <border>
      <left style="medium">
        <color rgb="FF27413F"/>
      </left>
      <right/>
      <top style="medium">
        <color rgb="FF27413F"/>
      </top>
      <bottom/>
      <diagonal/>
    </border>
    <border>
      <left/>
      <right/>
      <top style="medium">
        <color rgb="FF27413F"/>
      </top>
      <bottom/>
      <diagonal/>
    </border>
    <border>
      <left/>
      <right style="medium">
        <color rgb="FF9CC4C0"/>
      </right>
      <top style="medium">
        <color rgb="FF27413F"/>
      </top>
      <bottom/>
      <diagonal/>
    </border>
    <border>
      <left style="medium">
        <color rgb="FF27413F"/>
      </left>
      <right/>
      <top/>
      <bottom/>
      <diagonal/>
    </border>
    <border>
      <left style="medium">
        <color rgb="FF27413F"/>
      </left>
      <right/>
      <top/>
      <bottom style="medium">
        <color rgb="FF9CC4C0"/>
      </bottom>
      <diagonal/>
    </border>
    <border>
      <left style="medium">
        <color indexed="64"/>
      </left>
      <right style="medium">
        <color indexed="64"/>
      </right>
      <top style="medium">
        <color indexed="64"/>
      </top>
      <bottom style="medium">
        <color indexed="64"/>
      </bottom>
      <diagonal/>
    </border>
    <border>
      <left style="medium">
        <color rgb="FF27413F"/>
      </left>
      <right/>
      <top style="medium">
        <color rgb="FF27413F"/>
      </top>
      <bottom style="medium">
        <color rgb="FF9CC4C0"/>
      </bottom>
      <diagonal/>
    </border>
    <border>
      <left/>
      <right/>
      <top style="medium">
        <color rgb="FF27413F"/>
      </top>
      <bottom style="medium">
        <color rgb="FF9CC4C0"/>
      </bottom>
      <diagonal/>
    </border>
    <border>
      <left/>
      <right style="medium">
        <color rgb="FF9CC4C0"/>
      </right>
      <top style="medium">
        <color rgb="FF27413F"/>
      </top>
      <bottom style="medium">
        <color rgb="FF9CC4C0"/>
      </bottom>
      <diagonal/>
    </border>
    <border>
      <left style="thin">
        <color rgb="FF27413F"/>
      </left>
      <right/>
      <top style="thin">
        <color rgb="FF27413F"/>
      </top>
      <bottom/>
      <diagonal/>
    </border>
    <border>
      <left/>
      <right/>
      <top style="thin">
        <color rgb="FF27413F"/>
      </top>
      <bottom/>
      <diagonal/>
    </border>
    <border>
      <left/>
      <right style="thin">
        <color rgb="FF9CC4C0"/>
      </right>
      <top style="thin">
        <color rgb="FF27413F"/>
      </top>
      <bottom/>
      <diagonal/>
    </border>
    <border>
      <left style="thin">
        <color rgb="FF27413F"/>
      </left>
      <right/>
      <top/>
      <bottom/>
      <diagonal/>
    </border>
    <border>
      <left/>
      <right style="thin">
        <color rgb="FF9CC4C0"/>
      </right>
      <top/>
      <bottom/>
      <diagonal/>
    </border>
    <border>
      <left style="thin">
        <color rgb="FF27413F"/>
      </left>
      <right/>
      <top/>
      <bottom style="thin">
        <color rgb="FF9CC4C0"/>
      </bottom>
      <diagonal/>
    </border>
    <border>
      <left/>
      <right/>
      <top/>
      <bottom style="thin">
        <color rgb="FF9CC4C0"/>
      </bottom>
      <diagonal/>
    </border>
    <border>
      <left/>
      <right style="thin">
        <color rgb="FF9CC4C0"/>
      </right>
      <top/>
      <bottom style="thin">
        <color rgb="FF9CC4C0"/>
      </bottom>
      <diagonal/>
    </border>
    <border>
      <left/>
      <right style="thin">
        <color rgb="FF27413F"/>
      </right>
      <top/>
      <bottom/>
      <diagonal/>
    </border>
    <border>
      <left style="thin">
        <color auto="1"/>
      </left>
      <right style="thin">
        <color auto="1"/>
      </right>
      <top style="thin">
        <color auto="1"/>
      </top>
      <bottom style="thin">
        <color auto="1"/>
      </bottom>
      <diagonal/>
    </border>
    <border>
      <left/>
      <right/>
      <top style="medium">
        <color rgb="FF9CC4C0"/>
      </top>
      <bottom/>
      <diagonal/>
    </border>
    <border>
      <left style="thin">
        <color rgb="FF9CC4C0"/>
      </left>
      <right/>
      <top/>
      <bottom/>
      <diagonal/>
    </border>
  </borders>
  <cellStyleXfs count="3">
    <xf numFmtId="0" fontId="0" fillId="0" borderId="0"/>
    <xf numFmtId="0" fontId="3" fillId="0" borderId="0" applyNumberFormat="0" applyFill="0" applyBorder="0" applyAlignment="0" applyProtection="0"/>
    <xf numFmtId="0" fontId="19" fillId="0" borderId="0"/>
  </cellStyleXfs>
  <cellXfs count="244">
    <xf numFmtId="0" fontId="0" fillId="0" borderId="0" xfId="0"/>
    <xf numFmtId="0" fontId="0" fillId="0" borderId="0" xfId="0" applyFill="1"/>
    <xf numFmtId="0" fontId="0" fillId="0" borderId="0" xfId="0" applyProtection="1">
      <protection locked="0"/>
    </xf>
    <xf numFmtId="0" fontId="0" fillId="0" borderId="0" xfId="0" applyFill="1" applyProtection="1">
      <protection locked="0"/>
    </xf>
    <xf numFmtId="0" fontId="0" fillId="0" borderId="0" xfId="0" applyFill="1" applyBorder="1" applyProtection="1">
      <protection locked="0"/>
    </xf>
    <xf numFmtId="0" fontId="0" fillId="0" borderId="0" xfId="0" applyFill="1" applyAlignment="1" applyProtection="1">
      <alignment vertical="top" wrapText="1"/>
      <protection locked="0"/>
    </xf>
    <xf numFmtId="14" fontId="0" fillId="0" borderId="0" xfId="0" applyNumberFormat="1" applyFill="1" applyProtection="1">
      <protection locked="0"/>
    </xf>
    <xf numFmtId="0" fontId="0" fillId="0" borderId="0" xfId="0" quotePrefix="1" applyFill="1" applyBorder="1" applyProtection="1">
      <protection locked="0"/>
    </xf>
    <xf numFmtId="0" fontId="0" fillId="0" borderId="0" xfId="0" applyFill="1" applyAlignment="1" applyProtection="1">
      <protection locked="0"/>
    </xf>
    <xf numFmtId="0" fontId="0" fillId="0" borderId="0" xfId="0" applyFill="1" applyAlignment="1" applyProtection="1">
      <alignment vertical="center" wrapText="1"/>
      <protection locked="0"/>
    </xf>
    <xf numFmtId="0" fontId="0" fillId="0" borderId="0" xfId="0" applyFill="1" applyBorder="1" applyAlignment="1" applyProtection="1">
      <protection locked="0"/>
    </xf>
    <xf numFmtId="0" fontId="0" fillId="0" borderId="0" xfId="0" applyFill="1" applyAlignment="1" applyProtection="1">
      <alignment wrapText="1"/>
      <protection locked="0"/>
    </xf>
    <xf numFmtId="0" fontId="0" fillId="2" borderId="0" xfId="0" applyFill="1" applyProtection="1">
      <protection locked="0"/>
    </xf>
    <xf numFmtId="0" fontId="0" fillId="0" borderId="0" xfId="0" quotePrefix="1" applyProtection="1">
      <protection locked="0"/>
    </xf>
    <xf numFmtId="0" fontId="0" fillId="4" borderId="0" xfId="0" applyFill="1" applyProtection="1">
      <protection hidden="1"/>
    </xf>
    <xf numFmtId="0" fontId="0" fillId="0" borderId="0" xfId="0" applyProtection="1">
      <protection hidden="1"/>
    </xf>
    <xf numFmtId="0" fontId="0" fillId="3" borderId="1" xfId="0" applyFill="1" applyBorder="1" applyProtection="1">
      <protection hidden="1"/>
    </xf>
    <xf numFmtId="0" fontId="4" fillId="3" borderId="0" xfId="0" applyFont="1" applyFill="1" applyBorder="1" applyAlignment="1" applyProtection="1">
      <alignment vertical="center"/>
      <protection hidden="1"/>
    </xf>
    <xf numFmtId="0" fontId="7" fillId="3" borderId="0" xfId="0" applyFont="1" applyFill="1" applyBorder="1" applyAlignment="1" applyProtection="1">
      <alignment vertical="center" wrapText="1"/>
      <protection hidden="1"/>
    </xf>
    <xf numFmtId="0" fontId="0" fillId="3" borderId="0" xfId="0" applyFill="1" applyBorder="1" applyProtection="1">
      <protection hidden="1"/>
    </xf>
    <xf numFmtId="0" fontId="0" fillId="0" borderId="0" xfId="0" applyFill="1" applyProtection="1">
      <protection locked="0" hidden="1"/>
    </xf>
    <xf numFmtId="0" fontId="8" fillId="0" borderId="0" xfId="0" applyFont="1" applyFill="1" applyProtection="1">
      <protection locked="0"/>
    </xf>
    <xf numFmtId="0" fontId="4" fillId="0" borderId="0" xfId="0" applyFont="1" applyFill="1" applyAlignment="1" applyProtection="1">
      <alignment vertical="center" wrapText="1"/>
      <protection locked="0"/>
    </xf>
    <xf numFmtId="0" fontId="2" fillId="0" borderId="0" xfId="0" applyFont="1" applyFill="1" applyAlignment="1" applyProtection="1">
      <alignment vertical="center"/>
      <protection locked="0"/>
    </xf>
    <xf numFmtId="0" fontId="0" fillId="0" borderId="0" xfId="0" applyFill="1" applyAlignment="1" applyProtection="1">
      <alignment vertical="top"/>
      <protection locked="0"/>
    </xf>
    <xf numFmtId="0" fontId="5" fillId="0" borderId="0" xfId="0" applyFont="1" applyFill="1" applyAlignment="1" applyProtection="1">
      <alignment vertical="center"/>
      <protection locked="0" hidden="1"/>
    </xf>
    <xf numFmtId="0" fontId="0" fillId="0" borderId="0" xfId="0" applyFill="1" applyAlignment="1" applyProtection="1">
      <alignment wrapText="1"/>
      <protection locked="0" hidden="1"/>
    </xf>
    <xf numFmtId="0" fontId="0" fillId="0" borderId="0" xfId="0" applyFill="1" applyAlignment="1" applyProtection="1">
      <alignment vertical="top" wrapText="1"/>
      <protection locked="0" hidden="1"/>
    </xf>
    <xf numFmtId="0" fontId="0" fillId="2" borderId="0" xfId="0" applyFill="1" applyBorder="1" applyProtection="1">
      <protection locked="0"/>
    </xf>
    <xf numFmtId="0" fontId="0" fillId="6" borderId="0" xfId="0" applyFill="1" applyAlignment="1" applyProtection="1">
      <protection locked="0"/>
    </xf>
    <xf numFmtId="0" fontId="0" fillId="6" borderId="0" xfId="0" applyFill="1" applyProtection="1">
      <protection locked="0"/>
    </xf>
    <xf numFmtId="0" fontId="0" fillId="6" borderId="0" xfId="0" applyFill="1" applyBorder="1" applyProtection="1">
      <protection locked="0"/>
    </xf>
    <xf numFmtId="0" fontId="16" fillId="0" borderId="0" xfId="0" applyFont="1" applyFill="1" applyAlignment="1">
      <alignment horizontal="right" vertical="top"/>
    </xf>
    <xf numFmtId="0" fontId="17" fillId="0" borderId="0" xfId="0" applyFont="1" applyFill="1" applyAlignment="1">
      <alignment horizontal="left" vertical="top"/>
    </xf>
    <xf numFmtId="0" fontId="0" fillId="6" borderId="0" xfId="0" applyFill="1" applyAlignment="1" applyProtection="1">
      <alignment wrapText="1"/>
      <protection locked="0"/>
    </xf>
    <xf numFmtId="0" fontId="0" fillId="0" borderId="0" xfId="0" applyFill="1" applyProtection="1">
      <protection hidden="1"/>
    </xf>
    <xf numFmtId="0" fontId="5" fillId="0" borderId="0" xfId="0" applyFont="1" applyFill="1" applyBorder="1" applyAlignment="1" applyProtection="1">
      <alignment wrapText="1"/>
      <protection hidden="1"/>
    </xf>
    <xf numFmtId="0" fontId="0" fillId="0" borderId="0" xfId="0" applyFill="1" applyAlignment="1" applyProtection="1">
      <alignment vertical="center" wrapText="1"/>
      <protection hidden="1"/>
    </xf>
    <xf numFmtId="0" fontId="0" fillId="0" borderId="0" xfId="0" quotePrefix="1" applyFill="1" applyProtection="1">
      <protection locked="0"/>
    </xf>
    <xf numFmtId="0" fontId="19" fillId="7" borderId="0" xfId="2" applyFill="1" applyBorder="1" applyProtection="1">
      <protection locked="0" hidden="1"/>
    </xf>
    <xf numFmtId="20" fontId="0" fillId="0" borderId="0" xfId="0" applyNumberFormat="1" applyFill="1" applyProtection="1">
      <protection locked="0"/>
    </xf>
    <xf numFmtId="0" fontId="0" fillId="5" borderId="0" xfId="0" applyFill="1" applyProtection="1">
      <protection locked="0"/>
    </xf>
    <xf numFmtId="0" fontId="0" fillId="8" borderId="0" xfId="0" applyFill="1" applyProtection="1">
      <protection locked="0"/>
    </xf>
    <xf numFmtId="0" fontId="0" fillId="0" borderId="0" xfId="0" applyFill="1" applyBorder="1" applyProtection="1">
      <protection hidden="1"/>
    </xf>
    <xf numFmtId="0" fontId="0" fillId="7" borderId="0" xfId="0" applyFill="1" applyProtection="1">
      <protection hidden="1"/>
    </xf>
    <xf numFmtId="0" fontId="0" fillId="7" borderId="0" xfId="0" applyFill="1" applyBorder="1" applyProtection="1">
      <protection hidden="1"/>
    </xf>
    <xf numFmtId="0" fontId="0" fillId="7" borderId="0" xfId="0" applyFont="1" applyFill="1" applyBorder="1" applyProtection="1">
      <protection hidden="1"/>
    </xf>
    <xf numFmtId="0" fontId="18" fillId="7" borderId="0" xfId="0" applyFont="1" applyFill="1" applyProtection="1">
      <protection hidden="1"/>
    </xf>
    <xf numFmtId="0" fontId="18" fillId="7" borderId="0" xfId="0" applyFont="1" applyFill="1" applyBorder="1" applyProtection="1">
      <protection hidden="1"/>
    </xf>
    <xf numFmtId="0" fontId="22" fillId="7" borderId="0" xfId="0" applyFont="1" applyFill="1" applyBorder="1" applyAlignment="1" applyProtection="1">
      <alignment horizontal="left" indent="1"/>
      <protection hidden="1"/>
    </xf>
    <xf numFmtId="0" fontId="1" fillId="7" borderId="0" xfId="0" applyFont="1" applyFill="1" applyProtection="1">
      <protection hidden="1"/>
    </xf>
    <xf numFmtId="0" fontId="20" fillId="7" borderId="0" xfId="0" applyFont="1" applyFill="1" applyProtection="1">
      <protection hidden="1"/>
    </xf>
    <xf numFmtId="0" fontId="0" fillId="9" borderId="0" xfId="0" applyFill="1" applyProtection="1">
      <protection hidden="1"/>
    </xf>
    <xf numFmtId="0" fontId="15" fillId="7" borderId="0" xfId="0" applyFont="1" applyFill="1" applyAlignment="1" applyProtection="1">
      <alignment vertical="center"/>
      <protection hidden="1"/>
    </xf>
    <xf numFmtId="0" fontId="0" fillId="7" borderId="0" xfId="0" applyFont="1" applyFill="1" applyAlignment="1" applyProtection="1">
      <alignment horizontal="left" vertical="center"/>
      <protection hidden="1"/>
    </xf>
    <xf numFmtId="0" fontId="0" fillId="7" borderId="0" xfId="0" applyFill="1" applyBorder="1" applyAlignment="1" applyProtection="1">
      <alignment horizontal="left" vertical="top" wrapText="1"/>
      <protection hidden="1"/>
    </xf>
    <xf numFmtId="0" fontId="0" fillId="7" borderId="0" xfId="0" applyFont="1" applyFill="1" applyBorder="1" applyAlignment="1" applyProtection="1">
      <alignment vertical="center" wrapText="1"/>
      <protection locked="0" hidden="1"/>
    </xf>
    <xf numFmtId="0" fontId="23" fillId="7" borderId="0" xfId="0" applyFont="1" applyFill="1" applyBorder="1" applyAlignment="1" applyProtection="1">
      <alignment vertical="center" wrapText="1"/>
      <protection hidden="1"/>
    </xf>
    <xf numFmtId="0" fontId="18" fillId="7" borderId="0" xfId="0" applyFont="1" applyFill="1" applyBorder="1" applyAlignment="1" applyProtection="1">
      <alignment vertical="center" wrapText="1"/>
      <protection locked="0" hidden="1"/>
    </xf>
    <xf numFmtId="0" fontId="26" fillId="0" borderId="0" xfId="0" applyFont="1" applyFill="1" applyProtection="1">
      <protection locked="0"/>
    </xf>
    <xf numFmtId="0" fontId="0" fillId="10" borderId="0" xfId="0" applyFill="1" applyProtection="1">
      <protection locked="0"/>
    </xf>
    <xf numFmtId="0" fontId="0" fillId="0" borderId="0" xfId="0" applyFill="1" applyBorder="1" applyAlignment="1" applyProtection="1">
      <alignment wrapText="1"/>
      <protection locked="0"/>
    </xf>
    <xf numFmtId="0" fontId="0" fillId="0" borderId="0" xfId="0" applyFill="1" applyAlignment="1" applyProtection="1">
      <alignment horizontal="left" vertical="top" wrapText="1"/>
      <protection hidden="1"/>
    </xf>
    <xf numFmtId="0" fontId="0" fillId="0" borderId="0" xfId="0" applyFill="1" applyBorder="1" applyAlignment="1" applyProtection="1">
      <alignment horizontal="left" vertical="top" wrapText="1"/>
      <protection hidden="1"/>
    </xf>
    <xf numFmtId="0" fontId="0" fillId="0" borderId="0" xfId="0" applyFill="1" applyAlignment="1" applyProtection="1">
      <alignment horizontal="center" wrapText="1"/>
      <protection hidden="1"/>
    </xf>
    <xf numFmtId="0" fontId="3" fillId="0" borderId="0" xfId="1" applyFill="1" applyProtection="1">
      <protection hidden="1"/>
    </xf>
    <xf numFmtId="0" fontId="0" fillId="0" borderId="0" xfId="0" applyFill="1" applyBorder="1" applyAlignment="1" applyProtection="1">
      <alignment horizontal="center" wrapText="1"/>
      <protection hidden="1"/>
    </xf>
    <xf numFmtId="0" fontId="0" fillId="10" borderId="12" xfId="0" applyFill="1" applyBorder="1" applyProtection="1">
      <protection locked="0"/>
    </xf>
    <xf numFmtId="0" fontId="20" fillId="7" borderId="0" xfId="0" applyFont="1" applyFill="1" applyAlignment="1" applyProtection="1">
      <alignment horizontal="left" indent="2"/>
      <protection hidden="1"/>
    </xf>
    <xf numFmtId="0" fontId="27" fillId="7" borderId="0" xfId="0" applyFont="1" applyFill="1" applyBorder="1" applyAlignment="1" applyProtection="1">
      <alignment vertical="center" wrapText="1"/>
      <protection hidden="1"/>
    </xf>
    <xf numFmtId="0" fontId="27" fillId="7" borderId="0" xfId="0" applyFont="1" applyFill="1" applyBorder="1" applyAlignment="1" applyProtection="1">
      <alignment horizontal="right" vertical="center" wrapText="1" indent="3"/>
      <protection hidden="1"/>
    </xf>
    <xf numFmtId="0" fontId="27" fillId="7" borderId="0" xfId="0" applyFont="1" applyFill="1" applyBorder="1" applyAlignment="1" applyProtection="1">
      <alignment horizontal="right" vertical="center" wrapText="1" indent="4"/>
      <protection hidden="1"/>
    </xf>
    <xf numFmtId="0" fontId="29" fillId="7" borderId="0" xfId="0" applyFont="1" applyFill="1" applyBorder="1" applyAlignment="1" applyProtection="1">
      <alignment horizontal="left" vertical="center" indent="2"/>
      <protection hidden="1"/>
    </xf>
    <xf numFmtId="0" fontId="0" fillId="4" borderId="0" xfId="0" applyFont="1" applyFill="1" applyBorder="1" applyAlignment="1" applyProtection="1">
      <alignment horizontal="center" vertical="center" wrapText="1"/>
      <protection locked="0" hidden="1"/>
    </xf>
    <xf numFmtId="0" fontId="0" fillId="4" borderId="0" xfId="0" applyFont="1" applyFill="1" applyBorder="1" applyAlignment="1" applyProtection="1">
      <alignment horizontal="left" vertical="center" wrapText="1" indent="1"/>
      <protection locked="0" hidden="1"/>
    </xf>
    <xf numFmtId="0" fontId="7" fillId="3" borderId="0" xfId="0" applyFont="1" applyFill="1" applyBorder="1" applyAlignment="1" applyProtection="1">
      <alignment horizontal="left" vertical="top" wrapText="1"/>
      <protection hidden="1"/>
    </xf>
    <xf numFmtId="0" fontId="0" fillId="7" borderId="0" xfId="0" applyFill="1" applyBorder="1" applyAlignment="1" applyProtection="1">
      <alignment horizontal="center" wrapText="1"/>
      <protection hidden="1"/>
    </xf>
    <xf numFmtId="0" fontId="0" fillId="7" borderId="0" xfId="0" applyFill="1" applyAlignment="1" applyProtection="1">
      <alignment horizontal="center" wrapText="1"/>
      <protection hidden="1"/>
    </xf>
    <xf numFmtId="0" fontId="7" fillId="7" borderId="0" xfId="0" applyFont="1" applyFill="1" applyAlignment="1" applyProtection="1">
      <alignment horizontal="left" vertical="center" wrapText="1" indent="1"/>
      <protection hidden="1"/>
    </xf>
    <xf numFmtId="0" fontId="7" fillId="7" borderId="0" xfId="0" applyFont="1" applyFill="1" applyAlignment="1" applyProtection="1">
      <protection hidden="1"/>
    </xf>
    <xf numFmtId="0" fontId="7" fillId="7" borderId="0" xfId="0" applyFont="1" applyFill="1" applyAlignment="1" applyProtection="1">
      <alignment vertical="center" wrapText="1"/>
      <protection hidden="1"/>
    </xf>
    <xf numFmtId="0" fontId="7" fillId="7" borderId="0" xfId="0" applyFont="1" applyFill="1" applyAlignment="1" applyProtection="1">
      <alignment vertical="center"/>
      <protection hidden="1"/>
    </xf>
    <xf numFmtId="0" fontId="0" fillId="7" borderId="0" xfId="0" applyFill="1" applyAlignment="1" applyProtection="1">
      <alignment horizontal="left" vertical="top" wrapText="1" indent="1"/>
      <protection hidden="1"/>
    </xf>
    <xf numFmtId="0" fontId="0" fillId="7" borderId="0" xfId="0" applyFill="1" applyAlignment="1" applyProtection="1">
      <alignment horizontal="left" indent="1"/>
      <protection hidden="1"/>
    </xf>
    <xf numFmtId="0" fontId="0" fillId="7" borderId="0" xfId="0" applyFill="1" applyAlignment="1" applyProtection="1">
      <alignment horizontal="left" wrapText="1" indent="1"/>
      <protection hidden="1"/>
    </xf>
    <xf numFmtId="0" fontId="0" fillId="7" borderId="0" xfId="0" applyFill="1" applyBorder="1" applyAlignment="1" applyProtection="1">
      <alignment horizontal="left" vertical="top" wrapText="1" indent="1"/>
      <protection hidden="1"/>
    </xf>
    <xf numFmtId="0" fontId="20" fillId="7" borderId="0" xfId="0" applyFont="1" applyFill="1" applyBorder="1" applyAlignment="1" applyProtection="1">
      <alignment horizontal="left" vertical="top"/>
      <protection hidden="1"/>
    </xf>
    <xf numFmtId="0" fontId="3" fillId="7" borderId="0" xfId="1" applyFill="1" applyProtection="1">
      <protection hidden="1"/>
    </xf>
    <xf numFmtId="0" fontId="0" fillId="7" borderId="0" xfId="0" applyFill="1" applyAlignment="1" applyProtection="1">
      <alignment vertical="top" wrapText="1"/>
      <protection hidden="1"/>
    </xf>
    <xf numFmtId="0" fontId="1" fillId="7" borderId="0" xfId="0" applyFont="1" applyFill="1" applyAlignment="1" applyProtection="1">
      <alignment vertical="top" wrapText="1"/>
      <protection hidden="1"/>
    </xf>
    <xf numFmtId="0" fontId="1" fillId="7" borderId="0" xfId="0" applyFont="1" applyFill="1" applyAlignment="1" applyProtection="1">
      <alignment horizontal="left" vertical="top" indent="1"/>
      <protection hidden="1"/>
    </xf>
    <xf numFmtId="0" fontId="0" fillId="7" borderId="0" xfId="0" applyFont="1" applyFill="1" applyBorder="1" applyAlignment="1" applyProtection="1">
      <alignment horizontal="center" vertical="center" wrapText="1"/>
      <protection locked="0" hidden="1"/>
    </xf>
    <xf numFmtId="0" fontId="0" fillId="7" borderId="0" xfId="0" applyFont="1" applyFill="1" applyBorder="1" applyAlignment="1" applyProtection="1">
      <alignment vertical="center" wrapText="1"/>
      <protection hidden="1"/>
    </xf>
    <xf numFmtId="0" fontId="0" fillId="7" borderId="0" xfId="0" applyFont="1" applyFill="1" applyBorder="1" applyAlignment="1" applyProtection="1">
      <alignment horizontal="center" vertical="center" wrapText="1"/>
      <protection hidden="1"/>
    </xf>
    <xf numFmtId="0" fontId="1" fillId="7" borderId="0" xfId="0" applyFont="1" applyFill="1" applyBorder="1" applyAlignment="1" applyProtection="1">
      <alignment vertical="top" wrapText="1"/>
      <protection hidden="1"/>
    </xf>
    <xf numFmtId="0" fontId="23" fillId="0" borderId="0" xfId="0" applyFont="1" applyFill="1" applyBorder="1" applyAlignment="1" applyProtection="1">
      <alignment vertical="center" wrapText="1"/>
      <protection hidden="1"/>
    </xf>
    <xf numFmtId="0" fontId="1" fillId="7" borderId="0" xfId="0" applyFont="1" applyFill="1" applyAlignment="1" applyProtection="1">
      <alignment horizontal="center" vertical="top" wrapText="1"/>
      <protection hidden="1"/>
    </xf>
    <xf numFmtId="0" fontId="0" fillId="7" borderId="3" xfId="0" applyFill="1" applyBorder="1" applyProtection="1">
      <protection hidden="1"/>
    </xf>
    <xf numFmtId="0" fontId="30" fillId="7" borderId="0" xfId="1" applyFont="1" applyFill="1" applyProtection="1">
      <protection hidden="1"/>
    </xf>
    <xf numFmtId="0" fontId="0" fillId="0" borderId="25" xfId="0" applyFill="1" applyBorder="1" applyProtection="1">
      <protection locked="0"/>
    </xf>
    <xf numFmtId="0" fontId="0" fillId="12" borderId="0" xfId="0" applyFill="1" applyBorder="1" applyAlignment="1" applyProtection="1">
      <protection locked="0"/>
    </xf>
    <xf numFmtId="0" fontId="0" fillId="3" borderId="2" xfId="0" applyFill="1" applyBorder="1" applyProtection="1">
      <protection hidden="1"/>
    </xf>
    <xf numFmtId="0" fontId="7" fillId="3" borderId="0" xfId="0" applyFont="1" applyFill="1" applyBorder="1" applyProtection="1">
      <protection hidden="1"/>
    </xf>
    <xf numFmtId="0" fontId="7" fillId="3" borderId="0" xfId="0" applyFont="1" applyFill="1" applyBorder="1" applyAlignment="1" applyProtection="1">
      <alignment horizontal="left" vertical="center" wrapText="1"/>
      <protection hidden="1"/>
    </xf>
    <xf numFmtId="14" fontId="7" fillId="3" borderId="0" xfId="0" applyNumberFormat="1" applyFont="1" applyFill="1" applyBorder="1" applyAlignment="1" applyProtection="1">
      <alignment horizontal="left" vertical="top"/>
      <protection hidden="1"/>
    </xf>
    <xf numFmtId="0" fontId="0" fillId="0" borderId="0" xfId="0" applyBorder="1" applyProtection="1">
      <protection hidden="1"/>
    </xf>
    <xf numFmtId="0" fontId="0" fillId="7" borderId="0" xfId="0" applyFill="1" applyProtection="1">
      <protection locked="0" hidden="1"/>
    </xf>
    <xf numFmtId="0" fontId="0" fillId="3" borderId="0" xfId="0" applyFill="1" applyBorder="1" applyAlignment="1" applyProtection="1">
      <alignment horizontal="right" vertical="top"/>
      <protection hidden="1"/>
    </xf>
    <xf numFmtId="0" fontId="10" fillId="3" borderId="0" xfId="0" applyFont="1" applyFill="1" applyBorder="1" applyAlignment="1" applyProtection="1">
      <alignment vertical="center" wrapText="1"/>
      <protection hidden="1"/>
    </xf>
    <xf numFmtId="0" fontId="0" fillId="3" borderId="0" xfId="0" applyFont="1" applyFill="1" applyBorder="1" applyAlignment="1" applyProtection="1">
      <alignment vertical="top"/>
      <protection hidden="1"/>
    </xf>
    <xf numFmtId="0" fontId="9" fillId="3" borderId="0" xfId="0" applyFont="1" applyFill="1" applyBorder="1" applyAlignment="1" applyProtection="1">
      <alignment vertical="top" wrapText="1"/>
      <protection hidden="1"/>
    </xf>
    <xf numFmtId="0" fontId="0" fillId="11" borderId="0" xfId="0" applyFill="1" applyProtection="1">
      <protection locked="0"/>
    </xf>
    <xf numFmtId="0" fontId="0" fillId="0" borderId="1" xfId="0" applyBorder="1" applyProtection="1">
      <protection hidden="1"/>
    </xf>
    <xf numFmtId="0" fontId="18" fillId="0" borderId="0" xfId="0" applyFont="1" applyFill="1" applyAlignment="1" applyProtection="1">
      <alignment vertical="top"/>
      <protection hidden="1"/>
    </xf>
    <xf numFmtId="0" fontId="25" fillId="0" borderId="0" xfId="0" applyFont="1" applyFill="1" applyAlignment="1" applyProtection="1">
      <alignment vertical="top" wrapText="1"/>
      <protection hidden="1"/>
    </xf>
    <xf numFmtId="0" fontId="20" fillId="0" borderId="0" xfId="0" applyFont="1" applyFill="1" applyProtection="1">
      <protection hidden="1"/>
    </xf>
    <xf numFmtId="0" fontId="0" fillId="0" borderId="0" xfId="0" applyFont="1" applyFill="1" applyProtection="1">
      <protection hidden="1"/>
    </xf>
    <xf numFmtId="0" fontId="0" fillId="0" borderId="0" xfId="0" applyFont="1" applyFill="1" applyBorder="1" applyAlignment="1" applyProtection="1">
      <alignment vertical="center" wrapText="1"/>
      <protection locked="0" hidden="1"/>
    </xf>
    <xf numFmtId="0" fontId="18" fillId="0" borderId="0" xfId="0" applyFont="1" applyFill="1" applyBorder="1" applyAlignment="1" applyProtection="1">
      <alignment vertical="center" wrapText="1"/>
      <protection locked="0" hidden="1"/>
    </xf>
    <xf numFmtId="0" fontId="30" fillId="7" borderId="0" xfId="1" quotePrefix="1" applyFont="1" applyFill="1" applyBorder="1" applyAlignment="1" applyProtection="1">
      <alignment horizontal="left" vertical="center" wrapText="1" indent="1"/>
      <protection locked="0" hidden="1"/>
    </xf>
    <xf numFmtId="0" fontId="21" fillId="0" borderId="0" xfId="0" applyFont="1" applyFill="1"/>
    <xf numFmtId="0" fontId="5" fillId="0" borderId="0" xfId="0" applyFont="1" applyFill="1" applyProtection="1">
      <protection hidden="1"/>
    </xf>
    <xf numFmtId="0" fontId="0" fillId="0" borderId="0" xfId="0" applyFill="1" applyBorder="1" applyAlignment="1" applyProtection="1">
      <alignment vertical="center" wrapText="1"/>
      <protection hidden="1"/>
    </xf>
    <xf numFmtId="0" fontId="25" fillId="7" borderId="0" xfId="0" applyFont="1" applyFill="1" applyBorder="1" applyAlignment="1" applyProtection="1">
      <alignment vertical="center" wrapText="1"/>
      <protection locked="0" hidden="1"/>
    </xf>
    <xf numFmtId="0" fontId="18" fillId="7" borderId="0" xfId="0" applyFont="1" applyFill="1" applyBorder="1" applyAlignment="1" applyProtection="1">
      <alignment vertical="top" wrapText="1"/>
      <protection locked="0" hidden="1"/>
    </xf>
    <xf numFmtId="0" fontId="18" fillId="0" borderId="0" xfId="0" applyFont="1" applyFill="1" applyBorder="1" applyAlignment="1" applyProtection="1">
      <alignment vertical="top" wrapText="1"/>
      <protection locked="0" hidden="1"/>
    </xf>
    <xf numFmtId="0" fontId="24" fillId="7" borderId="26" xfId="0" applyFont="1" applyFill="1" applyBorder="1" applyAlignment="1" applyProtection="1">
      <alignment vertical="top" wrapText="1"/>
      <protection hidden="1"/>
    </xf>
    <xf numFmtId="0" fontId="33" fillId="7" borderId="0" xfId="0" applyFont="1" applyFill="1" applyBorder="1" applyAlignment="1" applyProtection="1">
      <alignment vertical="top"/>
      <protection hidden="1"/>
    </xf>
    <xf numFmtId="0" fontId="25" fillId="0" borderId="0" xfId="0" applyFont="1" applyFill="1" applyBorder="1" applyAlignment="1" applyProtection="1">
      <alignment vertical="center" wrapText="1"/>
      <protection locked="0" hidden="1"/>
    </xf>
    <xf numFmtId="0" fontId="33" fillId="0" borderId="0" xfId="0" applyFont="1" applyFill="1" applyBorder="1" applyAlignment="1" applyProtection="1">
      <alignment vertical="top"/>
      <protection hidden="1"/>
    </xf>
    <xf numFmtId="0" fontId="18" fillId="0" borderId="0" xfId="0" applyFont="1" applyProtection="1">
      <protection locked="0"/>
    </xf>
    <xf numFmtId="0" fontId="30" fillId="7" borderId="0" xfId="1" applyFont="1" applyFill="1" applyBorder="1" applyAlignment="1" applyProtection="1">
      <alignment vertical="center"/>
      <protection hidden="1"/>
    </xf>
    <xf numFmtId="0" fontId="30" fillId="7" borderId="0" xfId="1" applyFont="1" applyFill="1" applyBorder="1" applyAlignment="1" applyProtection="1">
      <alignment vertical="center" wrapText="1"/>
      <protection hidden="1"/>
    </xf>
    <xf numFmtId="0" fontId="28" fillId="7" borderId="0" xfId="0" applyFont="1" applyFill="1" applyBorder="1" applyAlignment="1" applyProtection="1">
      <alignment vertical="center" wrapText="1"/>
      <protection hidden="1"/>
    </xf>
    <xf numFmtId="0" fontId="6" fillId="3" borderId="1" xfId="0" applyFont="1" applyFill="1" applyBorder="1" applyAlignment="1" applyProtection="1">
      <alignment horizontal="left" indent="1"/>
      <protection hidden="1"/>
    </xf>
    <xf numFmtId="0" fontId="1" fillId="3" borderId="0" xfId="0" applyFont="1" applyFill="1" applyBorder="1" applyAlignment="1" applyProtection="1">
      <alignment horizontal="left" indent="1"/>
      <protection hidden="1"/>
    </xf>
    <xf numFmtId="0" fontId="13" fillId="0" borderId="0" xfId="0" applyFont="1" applyBorder="1" applyProtection="1">
      <protection hidden="1"/>
    </xf>
    <xf numFmtId="0" fontId="7" fillId="3" borderId="0" xfId="0" applyFont="1" applyFill="1" applyBorder="1" applyAlignment="1" applyProtection="1">
      <alignment horizontal="left" indent="1"/>
      <protection hidden="1"/>
    </xf>
    <xf numFmtId="0" fontId="34" fillId="7" borderId="0" xfId="0" applyFont="1" applyFill="1" applyBorder="1" applyAlignment="1" applyProtection="1">
      <alignment horizontal="left" vertical="center" wrapText="1" indent="1"/>
      <protection hidden="1"/>
    </xf>
    <xf numFmtId="0" fontId="12" fillId="3" borderId="1" xfId="0" applyFont="1" applyFill="1" applyBorder="1" applyAlignment="1" applyProtection="1">
      <alignment horizontal="left" vertical="center" wrapText="1" indent="1"/>
      <protection hidden="1"/>
    </xf>
    <xf numFmtId="0" fontId="12" fillId="3" borderId="1" xfId="0" applyFont="1" applyFill="1" applyBorder="1" applyAlignment="1" applyProtection="1">
      <alignment horizontal="left" vertical="center" indent="1"/>
      <protection hidden="1"/>
    </xf>
    <xf numFmtId="0" fontId="12" fillId="3" borderId="1" xfId="0" applyFont="1" applyFill="1" applyBorder="1" applyAlignment="1" applyProtection="1">
      <alignment vertical="center"/>
      <protection hidden="1"/>
    </xf>
    <xf numFmtId="0" fontId="35" fillId="0" borderId="0" xfId="0" applyFont="1" applyFill="1" applyProtection="1">
      <protection locked="0"/>
    </xf>
    <xf numFmtId="0" fontId="0" fillId="0" borderId="0" xfId="0" applyFont="1" applyFill="1" applyProtection="1">
      <protection locked="0"/>
    </xf>
    <xf numFmtId="0" fontId="36" fillId="0" borderId="0" xfId="0" applyFont="1" applyFill="1" applyBorder="1" applyAlignment="1" applyProtection="1">
      <alignment vertical="center" wrapText="1"/>
      <protection hidden="1"/>
    </xf>
    <xf numFmtId="0" fontId="23" fillId="0" borderId="0" xfId="0" applyFont="1" applyFill="1" applyBorder="1" applyAlignment="1" applyProtection="1">
      <alignment vertical="center"/>
      <protection hidden="1"/>
    </xf>
    <xf numFmtId="0" fontId="36" fillId="0" borderId="0" xfId="0" applyFont="1" applyFill="1" applyBorder="1" applyAlignment="1" applyProtection="1">
      <alignment vertical="center"/>
      <protection hidden="1"/>
    </xf>
    <xf numFmtId="0" fontId="0" fillId="0" borderId="0" xfId="0" applyFont="1" applyFill="1" applyBorder="1" applyAlignment="1" applyProtection="1">
      <alignment horizontal="left" vertical="top" wrapText="1"/>
      <protection hidden="1"/>
    </xf>
    <xf numFmtId="0" fontId="0" fillId="0" borderId="0" xfId="0" applyFont="1" applyFill="1" applyBorder="1" applyAlignment="1" applyProtection="1">
      <alignment vertical="center" wrapText="1"/>
      <protection hidden="1"/>
    </xf>
    <xf numFmtId="0" fontId="20" fillId="0" borderId="0" xfId="0" applyFont="1" applyFill="1" applyAlignment="1" applyProtection="1">
      <alignment vertical="top" wrapText="1"/>
      <protection hidden="1"/>
    </xf>
    <xf numFmtId="0" fontId="0" fillId="12" borderId="0" xfId="0" applyFill="1" applyProtection="1">
      <protection locked="0"/>
    </xf>
    <xf numFmtId="0" fontId="0" fillId="4" borderId="0" xfId="0" applyFill="1" applyProtection="1">
      <protection locked="0"/>
    </xf>
    <xf numFmtId="0" fontId="0" fillId="12" borderId="0" xfId="0" quotePrefix="1" applyFill="1" applyBorder="1" applyProtection="1">
      <protection locked="0"/>
    </xf>
    <xf numFmtId="0" fontId="0" fillId="12" borderId="0" xfId="0" applyFill="1" applyBorder="1" applyProtection="1">
      <protection locked="0"/>
    </xf>
    <xf numFmtId="0" fontId="37" fillId="0" borderId="0" xfId="0" applyFont="1" applyFill="1" applyBorder="1" applyAlignment="1" applyProtection="1">
      <alignment vertical="center"/>
      <protection locked="0" hidden="1"/>
    </xf>
    <xf numFmtId="14" fontId="7" fillId="0" borderId="0" xfId="0" applyNumberFormat="1" applyFont="1" applyBorder="1" applyProtection="1">
      <protection hidden="1"/>
    </xf>
    <xf numFmtId="0" fontId="11" fillId="3" borderId="0" xfId="0" applyFont="1" applyFill="1" applyBorder="1" applyAlignment="1" applyProtection="1">
      <alignment horizontal="left" vertical="center" wrapText="1" indent="1"/>
      <protection hidden="1"/>
    </xf>
    <xf numFmtId="0" fontId="11" fillId="3" borderId="0" xfId="0" applyFont="1" applyFill="1" applyBorder="1" applyAlignment="1" applyProtection="1">
      <alignment horizontal="center" vertical="center" wrapText="1"/>
      <protection hidden="1"/>
    </xf>
    <xf numFmtId="0" fontId="0" fillId="3" borderId="13" xfId="0" applyFill="1" applyBorder="1" applyAlignment="1" applyProtection="1">
      <alignment horizontal="left" vertical="center" indent="1"/>
      <protection locked="0"/>
    </xf>
    <xf numFmtId="0" fontId="0" fillId="3" borderId="14" xfId="0" applyFill="1" applyBorder="1" applyAlignment="1" applyProtection="1">
      <alignment horizontal="left" vertical="center" indent="1"/>
      <protection locked="0"/>
    </xf>
    <xf numFmtId="0" fontId="0" fillId="3" borderId="15" xfId="0" applyFill="1" applyBorder="1" applyAlignment="1" applyProtection="1">
      <alignment horizontal="left" vertical="center" indent="1"/>
      <protection locked="0"/>
    </xf>
    <xf numFmtId="0" fontId="0" fillId="7" borderId="17" xfId="0" applyFill="1" applyBorder="1" applyAlignment="1" applyProtection="1">
      <alignment horizontal="left" vertical="center" wrapText="1" indent="1"/>
      <protection hidden="1"/>
    </xf>
    <xf numFmtId="0" fontId="0" fillId="7" borderId="18" xfId="0" applyFill="1" applyBorder="1" applyAlignment="1" applyProtection="1">
      <alignment horizontal="left" vertical="center" wrapText="1" indent="1"/>
      <protection hidden="1"/>
    </xf>
    <xf numFmtId="0" fontId="0" fillId="7" borderId="0" xfId="0" applyFill="1" applyBorder="1" applyAlignment="1" applyProtection="1">
      <alignment horizontal="left" vertical="center" wrapText="1" indent="1"/>
      <protection hidden="1"/>
    </xf>
    <xf numFmtId="0" fontId="0" fillId="7" borderId="20" xfId="0" applyFill="1" applyBorder="1" applyAlignment="1" applyProtection="1">
      <alignment horizontal="left" vertical="center" wrapText="1" indent="1"/>
      <protection hidden="1"/>
    </xf>
    <xf numFmtId="0" fontId="0" fillId="7" borderId="22" xfId="0" applyFill="1" applyBorder="1" applyAlignment="1" applyProtection="1">
      <alignment horizontal="left" vertical="center" wrapText="1" indent="1"/>
      <protection hidden="1"/>
    </xf>
    <xf numFmtId="0" fontId="0" fillId="7" borderId="23" xfId="0" applyFill="1" applyBorder="1" applyAlignment="1" applyProtection="1">
      <alignment horizontal="left" vertical="center" wrapText="1" indent="1"/>
      <protection hidden="1"/>
    </xf>
    <xf numFmtId="0" fontId="0" fillId="7" borderId="16" xfId="0" applyFill="1" applyBorder="1" applyAlignment="1" applyProtection="1">
      <alignment horizontal="center" vertical="center" wrapText="1"/>
      <protection hidden="1"/>
    </xf>
    <xf numFmtId="0" fontId="0" fillId="7" borderId="19" xfId="0" applyFill="1" applyBorder="1" applyAlignment="1" applyProtection="1">
      <alignment horizontal="center" vertical="center" wrapText="1"/>
      <protection hidden="1"/>
    </xf>
    <xf numFmtId="0" fontId="0" fillId="7" borderId="21" xfId="0" applyFill="1" applyBorder="1" applyAlignment="1" applyProtection="1">
      <alignment horizontal="center" vertical="center" wrapText="1"/>
      <protection hidden="1"/>
    </xf>
    <xf numFmtId="0" fontId="0" fillId="4" borderId="0" xfId="0" applyFont="1" applyFill="1" applyBorder="1" applyAlignment="1" applyProtection="1">
      <alignment horizontal="left" vertical="center" wrapText="1" indent="1"/>
      <protection locked="0" hidden="1"/>
    </xf>
    <xf numFmtId="0" fontId="7" fillId="7" borderId="0" xfId="0" applyFont="1" applyFill="1" applyAlignment="1" applyProtection="1">
      <alignment horizontal="left" wrapText="1" indent="1"/>
      <protection hidden="1"/>
    </xf>
    <xf numFmtId="0" fontId="7" fillId="7" borderId="0" xfId="0" applyFont="1" applyFill="1" applyAlignment="1" applyProtection="1">
      <alignment horizontal="left" vertical="center" wrapText="1" indent="1"/>
      <protection hidden="1"/>
    </xf>
    <xf numFmtId="0" fontId="0" fillId="7" borderId="16" xfId="0" applyFill="1" applyBorder="1" applyAlignment="1" applyProtection="1">
      <alignment horizontal="left" vertical="top" wrapText="1" indent="1"/>
      <protection locked="0" hidden="1"/>
    </xf>
    <xf numFmtId="0" fontId="0" fillId="7" borderId="17" xfId="0" applyFill="1" applyBorder="1" applyAlignment="1" applyProtection="1">
      <alignment horizontal="left" vertical="top" wrapText="1" indent="1"/>
      <protection locked="0" hidden="1"/>
    </xf>
    <xf numFmtId="0" fontId="0" fillId="7" borderId="18" xfId="0" applyFill="1" applyBorder="1" applyAlignment="1" applyProtection="1">
      <alignment horizontal="left" vertical="top" wrapText="1" indent="1"/>
      <protection locked="0" hidden="1"/>
    </xf>
    <xf numFmtId="0" fontId="0" fillId="7" borderId="19" xfId="0" applyFill="1" applyBorder="1" applyAlignment="1" applyProtection="1">
      <alignment horizontal="left" vertical="top" wrapText="1" indent="1"/>
      <protection locked="0" hidden="1"/>
    </xf>
    <xf numFmtId="0" fontId="0" fillId="7" borderId="0" xfId="0" applyFill="1" applyBorder="1" applyAlignment="1" applyProtection="1">
      <alignment horizontal="left" vertical="top" wrapText="1" indent="1"/>
      <protection locked="0" hidden="1"/>
    </xf>
    <xf numFmtId="0" fontId="0" fillId="7" borderId="20" xfId="0" applyFill="1" applyBorder="1" applyAlignment="1" applyProtection="1">
      <alignment horizontal="left" vertical="top" wrapText="1" indent="1"/>
      <protection locked="0" hidden="1"/>
    </xf>
    <xf numFmtId="0" fontId="0" fillId="7" borderId="21" xfId="0" applyFill="1" applyBorder="1" applyAlignment="1" applyProtection="1">
      <alignment horizontal="left" vertical="top" wrapText="1" indent="1"/>
      <protection locked="0" hidden="1"/>
    </xf>
    <xf numFmtId="0" fontId="0" fillId="7" borderId="22" xfId="0" applyFill="1" applyBorder="1" applyAlignment="1" applyProtection="1">
      <alignment horizontal="left" vertical="top" wrapText="1" indent="1"/>
      <protection locked="0" hidden="1"/>
    </xf>
    <xf numFmtId="0" fontId="0" fillId="7" borderId="23" xfId="0" applyFill="1" applyBorder="1" applyAlignment="1" applyProtection="1">
      <alignment horizontal="left" vertical="top" wrapText="1" indent="1"/>
      <protection locked="0" hidden="1"/>
    </xf>
    <xf numFmtId="0" fontId="0" fillId="7" borderId="16" xfId="0" applyFill="1" applyBorder="1" applyAlignment="1" applyProtection="1">
      <alignment horizontal="left" vertical="center" wrapText="1" indent="1"/>
      <protection hidden="1"/>
    </xf>
    <xf numFmtId="0" fontId="0" fillId="7" borderId="19" xfId="0" applyFill="1" applyBorder="1" applyAlignment="1" applyProtection="1">
      <alignment horizontal="left" vertical="center" wrapText="1" indent="1"/>
      <protection hidden="1"/>
    </xf>
    <xf numFmtId="0" fontId="0" fillId="7" borderId="21" xfId="0" applyFill="1" applyBorder="1" applyAlignment="1" applyProtection="1">
      <alignment horizontal="left" vertical="center" wrapText="1" indent="1"/>
      <protection hidden="1"/>
    </xf>
    <xf numFmtId="0" fontId="5" fillId="3" borderId="0" xfId="0" applyFont="1" applyFill="1" applyBorder="1" applyAlignment="1" applyProtection="1">
      <alignment horizontal="center"/>
      <protection hidden="1"/>
    </xf>
    <xf numFmtId="0" fontId="0" fillId="3" borderId="0" xfId="0" applyFill="1" applyBorder="1" applyAlignment="1" applyProtection="1">
      <alignment horizontal="center"/>
      <protection hidden="1"/>
    </xf>
    <xf numFmtId="14" fontId="7" fillId="3" borderId="0" xfId="0" applyNumberFormat="1" applyFont="1" applyFill="1" applyBorder="1" applyAlignment="1" applyProtection="1">
      <alignment horizontal="left"/>
      <protection hidden="1"/>
    </xf>
    <xf numFmtId="0" fontId="11" fillId="3" borderId="1" xfId="0" applyFont="1" applyFill="1" applyBorder="1" applyAlignment="1" applyProtection="1">
      <alignment horizontal="left" vertical="center" wrapText="1" indent="1"/>
      <protection hidden="1"/>
    </xf>
    <xf numFmtId="0" fontId="11" fillId="3" borderId="1" xfId="0" applyFont="1" applyFill="1" applyBorder="1" applyAlignment="1" applyProtection="1">
      <alignment horizontal="center" vertical="center" wrapText="1"/>
      <protection hidden="1"/>
    </xf>
    <xf numFmtId="0" fontId="14" fillId="3" borderId="0" xfId="0" applyFont="1" applyFill="1" applyBorder="1" applyAlignment="1" applyProtection="1">
      <alignment horizontal="left" vertical="top" wrapText="1" indent="1"/>
      <protection hidden="1"/>
    </xf>
    <xf numFmtId="0" fontId="7" fillId="3" borderId="0" xfId="0" applyFont="1" applyFill="1" applyBorder="1" applyAlignment="1" applyProtection="1">
      <alignment horizontal="left" vertical="center" wrapText="1" indent="1"/>
      <protection hidden="1"/>
    </xf>
    <xf numFmtId="0" fontId="7" fillId="3" borderId="2" xfId="0" applyFont="1" applyFill="1" applyBorder="1" applyAlignment="1" applyProtection="1">
      <alignment horizontal="left" vertical="top" wrapText="1" indent="1"/>
      <protection hidden="1"/>
    </xf>
    <xf numFmtId="0" fontId="7" fillId="3" borderId="0" xfId="0" applyFont="1" applyFill="1" applyBorder="1" applyAlignment="1" applyProtection="1">
      <alignment horizontal="left" vertical="top" wrapText="1" indent="1"/>
      <protection hidden="1"/>
    </xf>
    <xf numFmtId="0" fontId="10" fillId="3" borderId="0" xfId="0" applyFont="1" applyFill="1" applyBorder="1" applyAlignment="1" applyProtection="1">
      <alignment horizontal="left" vertical="center" wrapText="1" indent="1"/>
      <protection hidden="1"/>
    </xf>
    <xf numFmtId="0" fontId="9" fillId="3" borderId="0" xfId="0" applyFont="1" applyFill="1" applyBorder="1" applyAlignment="1" applyProtection="1">
      <alignment horizontal="left" vertical="top" wrapText="1" indent="1"/>
      <protection hidden="1"/>
    </xf>
    <xf numFmtId="0" fontId="9" fillId="3" borderId="0" xfId="0" applyFont="1" applyFill="1" applyBorder="1" applyAlignment="1" applyProtection="1">
      <alignment horizontal="left" vertical="top" indent="1"/>
      <protection hidden="1"/>
    </xf>
    <xf numFmtId="0" fontId="11" fillId="3" borderId="0" xfId="0" applyFont="1" applyFill="1" applyBorder="1" applyAlignment="1" applyProtection="1">
      <alignment horizontal="center" vertical="center"/>
      <protection hidden="1"/>
    </xf>
    <xf numFmtId="0" fontId="14" fillId="3" borderId="0" xfId="0" applyFont="1" applyFill="1" applyBorder="1" applyAlignment="1" applyProtection="1">
      <alignment horizontal="left" vertical="top" wrapText="1"/>
      <protection hidden="1"/>
    </xf>
    <xf numFmtId="0" fontId="0" fillId="3" borderId="0" xfId="0" applyFont="1" applyFill="1" applyBorder="1" applyAlignment="1" applyProtection="1">
      <alignment horizontal="left" vertical="top" wrapText="1" indent="1"/>
      <protection hidden="1"/>
    </xf>
    <xf numFmtId="0" fontId="12" fillId="3" borderId="1" xfId="0" applyFont="1" applyFill="1" applyBorder="1" applyAlignment="1" applyProtection="1">
      <alignment horizontal="left" vertical="center" indent="1"/>
      <protection hidden="1"/>
    </xf>
    <xf numFmtId="0" fontId="0" fillId="7" borderId="0" xfId="0" applyFont="1" applyFill="1" applyBorder="1" applyAlignment="1" applyProtection="1">
      <alignment horizontal="left" vertical="center" wrapText="1" indent="1"/>
      <protection locked="0" hidden="1"/>
    </xf>
    <xf numFmtId="0" fontId="30" fillId="7" borderId="0" xfId="1" applyFont="1" applyFill="1" applyAlignment="1" applyProtection="1">
      <alignment horizontal="center"/>
      <protection hidden="1"/>
    </xf>
    <xf numFmtId="0" fontId="5" fillId="7" borderId="0" xfId="0" applyFont="1" applyFill="1" applyBorder="1" applyAlignment="1" applyProtection="1">
      <alignment horizontal="left" vertical="top" wrapText="1" indent="1"/>
      <protection hidden="1"/>
    </xf>
    <xf numFmtId="0" fontId="24" fillId="7" borderId="0" xfId="0" applyFont="1" applyFill="1" applyAlignment="1" applyProtection="1">
      <alignment horizontal="right" vertical="center" wrapText="1"/>
      <protection hidden="1"/>
    </xf>
    <xf numFmtId="0" fontId="24" fillId="7" borderId="0" xfId="0" applyFont="1" applyFill="1" applyAlignment="1" applyProtection="1">
      <alignment horizontal="right" vertical="center"/>
      <protection hidden="1"/>
    </xf>
    <xf numFmtId="0" fontId="0" fillId="0" borderId="0" xfId="0" applyFill="1" applyAlignment="1" applyProtection="1">
      <alignment horizontal="center"/>
      <protection locked="0"/>
    </xf>
    <xf numFmtId="0" fontId="0" fillId="0" borderId="7" xfId="0" applyBorder="1" applyAlignment="1" applyProtection="1">
      <alignment horizontal="left" vertical="center" indent="1"/>
      <protection locked="0"/>
    </xf>
    <xf numFmtId="0" fontId="0" fillId="0" borderId="8" xfId="0" applyBorder="1" applyAlignment="1" applyProtection="1">
      <alignment horizontal="left" vertical="center" indent="1"/>
      <protection locked="0"/>
    </xf>
    <xf numFmtId="0" fontId="0" fillId="0" borderId="9" xfId="0"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0" fillId="0" borderId="0" xfId="0" applyBorder="1" applyAlignment="1" applyProtection="1">
      <alignment horizontal="left" vertical="center" indent="1"/>
      <protection locked="0"/>
    </xf>
    <xf numFmtId="0" fontId="0" fillId="0" borderId="4" xfId="0" applyBorder="1" applyAlignment="1" applyProtection="1">
      <alignment horizontal="left" vertical="center" indent="1"/>
      <protection locked="0"/>
    </xf>
    <xf numFmtId="0" fontId="0" fillId="0" borderId="11" xfId="0" applyBorder="1" applyAlignment="1" applyProtection="1">
      <alignment horizontal="left" vertical="center" indent="1"/>
      <protection locked="0"/>
    </xf>
    <xf numFmtId="0" fontId="0" fillId="0" borderId="5" xfId="0" applyBorder="1" applyAlignment="1" applyProtection="1">
      <alignment horizontal="left" vertical="center" indent="1"/>
      <protection locked="0"/>
    </xf>
    <xf numFmtId="0" fontId="0" fillId="0" borderId="6" xfId="0" applyBorder="1" applyAlignment="1" applyProtection="1">
      <alignment horizontal="left" vertical="center" indent="1"/>
      <protection locked="0"/>
    </xf>
    <xf numFmtId="0" fontId="31" fillId="7" borderId="0" xfId="0" applyFont="1" applyFill="1" applyAlignment="1" applyProtection="1">
      <alignment horizontal="left" vertical="top" wrapText="1"/>
      <protection hidden="1"/>
    </xf>
    <xf numFmtId="0" fontId="11" fillId="3" borderId="0" xfId="0" applyFont="1" applyFill="1" applyBorder="1" applyAlignment="1" applyProtection="1">
      <alignment horizontal="left" vertical="center" indent="1"/>
      <protection hidden="1"/>
    </xf>
    <xf numFmtId="0" fontId="1" fillId="7" borderId="0" xfId="0" applyFont="1" applyFill="1" applyAlignment="1" applyProtection="1">
      <alignment horizontal="left" vertical="top" wrapText="1" indent="1"/>
      <protection hidden="1"/>
    </xf>
    <xf numFmtId="0" fontId="1" fillId="7" borderId="0" xfId="0" applyFont="1" applyFill="1" applyAlignment="1" applyProtection="1">
      <alignment horizontal="left" vertical="center" wrapText="1" indent="1"/>
      <protection hidden="1"/>
    </xf>
    <xf numFmtId="0" fontId="1" fillId="7" borderId="0" xfId="0" applyFont="1" applyFill="1" applyAlignment="1" applyProtection="1">
      <alignment horizontal="center" vertical="top" wrapText="1"/>
      <protection hidden="1"/>
    </xf>
    <xf numFmtId="0" fontId="27" fillId="7" borderId="0" xfId="0" applyFont="1" applyFill="1" applyBorder="1" applyAlignment="1" applyProtection="1">
      <alignment horizontal="left" vertical="center" wrapText="1" indent="5"/>
      <protection hidden="1"/>
    </xf>
    <xf numFmtId="0" fontId="7" fillId="7" borderId="0" xfId="0" applyFont="1" applyFill="1" applyAlignment="1" applyProtection="1">
      <alignment horizontal="left" vertical="top" wrapText="1" indent="1"/>
      <protection hidden="1"/>
    </xf>
    <xf numFmtId="0" fontId="32" fillId="7" borderId="0" xfId="0" applyFont="1" applyFill="1" applyAlignment="1" applyProtection="1">
      <alignment horizontal="left" vertical="top" wrapText="1"/>
      <protection hidden="1"/>
    </xf>
    <xf numFmtId="0" fontId="0" fillId="7" borderId="0" xfId="0" applyFill="1" applyAlignment="1" applyProtection="1">
      <alignment horizontal="left" vertical="top" wrapText="1" indent="1"/>
      <protection hidden="1"/>
    </xf>
    <xf numFmtId="0" fontId="12" fillId="3" borderId="1" xfId="0" applyFont="1" applyFill="1" applyBorder="1" applyAlignment="1" applyProtection="1">
      <alignment horizontal="left" vertical="center" wrapText="1" indent="1"/>
      <protection hidden="1"/>
    </xf>
    <xf numFmtId="0" fontId="0" fillId="3" borderId="10" xfId="0" applyFill="1" applyBorder="1" applyAlignment="1" applyProtection="1">
      <alignment horizontal="center"/>
      <protection hidden="1"/>
    </xf>
    <xf numFmtId="0" fontId="0" fillId="3" borderId="4" xfId="0" applyFill="1" applyBorder="1" applyAlignment="1" applyProtection="1">
      <alignment horizontal="center"/>
      <protection hidden="1"/>
    </xf>
    <xf numFmtId="0" fontId="0" fillId="3" borderId="11" xfId="0" applyFill="1" applyBorder="1" applyAlignment="1" applyProtection="1">
      <alignment horizontal="center"/>
      <protection hidden="1"/>
    </xf>
    <xf numFmtId="0" fontId="0" fillId="3" borderId="5" xfId="0" applyFill="1" applyBorder="1" applyAlignment="1" applyProtection="1">
      <alignment horizontal="center"/>
      <protection hidden="1"/>
    </xf>
    <xf numFmtId="0" fontId="0" fillId="3" borderId="6" xfId="0" applyFill="1" applyBorder="1" applyAlignment="1" applyProtection="1">
      <alignment horizontal="center"/>
      <protection hidden="1"/>
    </xf>
    <xf numFmtId="0" fontId="0" fillId="11" borderId="7" xfId="0" applyFill="1" applyBorder="1" applyAlignment="1" applyProtection="1">
      <alignment horizontal="left" wrapText="1" indent="2"/>
      <protection hidden="1"/>
    </xf>
    <xf numFmtId="0" fontId="0" fillId="11" borderId="8" xfId="0" applyFill="1" applyBorder="1" applyAlignment="1" applyProtection="1">
      <alignment horizontal="left" wrapText="1" indent="2"/>
      <protection hidden="1"/>
    </xf>
    <xf numFmtId="0" fontId="0" fillId="11" borderId="9" xfId="0" applyFill="1" applyBorder="1" applyAlignment="1" applyProtection="1">
      <alignment horizontal="left" wrapText="1" indent="2"/>
      <protection hidden="1"/>
    </xf>
    <xf numFmtId="0" fontId="0" fillId="11" borderId="10" xfId="0" applyFill="1" applyBorder="1" applyAlignment="1" applyProtection="1">
      <alignment horizontal="left" wrapText="1" indent="2"/>
      <protection hidden="1"/>
    </xf>
    <xf numFmtId="0" fontId="0" fillId="11" borderId="0" xfId="0" applyFill="1" applyBorder="1" applyAlignment="1" applyProtection="1">
      <alignment horizontal="left" wrapText="1" indent="2"/>
      <protection hidden="1"/>
    </xf>
    <xf numFmtId="0" fontId="0" fillId="11" borderId="4" xfId="0" applyFill="1" applyBorder="1" applyAlignment="1" applyProtection="1">
      <alignment horizontal="left" wrapText="1" indent="2"/>
      <protection hidden="1"/>
    </xf>
    <xf numFmtId="0" fontId="0" fillId="11" borderId="11" xfId="0" applyFill="1" applyBorder="1" applyAlignment="1" applyProtection="1">
      <alignment horizontal="left" wrapText="1" indent="2"/>
      <protection hidden="1"/>
    </xf>
    <xf numFmtId="0" fontId="0" fillId="11" borderId="5" xfId="0" applyFill="1" applyBorder="1" applyAlignment="1" applyProtection="1">
      <alignment horizontal="left" wrapText="1" indent="2"/>
      <protection hidden="1"/>
    </xf>
    <xf numFmtId="0" fontId="0" fillId="11" borderId="6" xfId="0" applyFill="1" applyBorder="1" applyAlignment="1" applyProtection="1">
      <alignment horizontal="left" wrapText="1" indent="2"/>
      <protection hidden="1"/>
    </xf>
    <xf numFmtId="0" fontId="18" fillId="7" borderId="0" xfId="0" applyFont="1" applyFill="1" applyBorder="1" applyAlignment="1" applyProtection="1">
      <alignment horizontal="left" vertical="top" wrapText="1"/>
      <protection locked="0" hidden="1"/>
    </xf>
    <xf numFmtId="0" fontId="27" fillId="7" borderId="0" xfId="0" applyFont="1" applyFill="1" applyBorder="1" applyAlignment="1" applyProtection="1">
      <alignment horizontal="right" vertical="center" wrapText="1" indent="3"/>
      <protection hidden="1"/>
    </xf>
    <xf numFmtId="0" fontId="27" fillId="7" borderId="27" xfId="0" applyFont="1" applyFill="1" applyBorder="1" applyAlignment="1" applyProtection="1">
      <alignment horizontal="left" vertical="top" wrapText="1" indent="6"/>
      <protection hidden="1"/>
    </xf>
    <xf numFmtId="0" fontId="27" fillId="7" borderId="24" xfId="0" applyFont="1" applyFill="1" applyBorder="1" applyAlignment="1" applyProtection="1">
      <alignment horizontal="left" vertical="top" wrapText="1" indent="6"/>
      <protection hidden="1"/>
    </xf>
  </cellXfs>
  <cellStyles count="3">
    <cellStyle name="Hyperkobling" xfId="1" builtinId="8"/>
    <cellStyle name="Normal" xfId="0" builtinId="0"/>
    <cellStyle name="Normal_BREEAM 2006 Calcs MASTERv3" xfId="2" xr:uid="{00000000-0005-0000-0000-000002000000}"/>
  </cellStyles>
  <dxfs count="359">
    <dxf>
      <font>
        <b/>
        <i val="0"/>
        <u/>
      </font>
    </dxf>
    <dxf>
      <font>
        <b/>
        <i val="0"/>
        <u/>
      </font>
    </dxf>
    <dxf>
      <font>
        <b val="0"/>
        <i/>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theme="0"/>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theme="0"/>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theme="0"/>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theme="0"/>
        </top>
        <bottom style="thin">
          <color auto="1"/>
        </bottom>
        <vertical/>
        <horizontal/>
      </border>
    </dxf>
    <dxf>
      <border>
        <left style="thin">
          <color auto="1"/>
        </left>
        <right style="thin">
          <color auto="1"/>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theme="0"/>
        </top>
        <bottom style="thin">
          <color auto="1"/>
        </bottom>
        <vertical/>
        <horizontal/>
      </border>
    </dxf>
    <dxf>
      <border>
        <left style="thin">
          <color auto="1"/>
        </left>
        <right style="thin">
          <color auto="1"/>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theme="0"/>
        </top>
        <bottom style="thin">
          <color theme="0"/>
        </bottom>
        <vertical/>
        <horizontal/>
      </border>
    </dxf>
    <dxf>
      <border>
        <left style="thin">
          <color auto="1"/>
        </left>
        <right style="thin">
          <color auto="1"/>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bottom style="thin">
          <color auto="1"/>
        </bottom>
        <vertical/>
        <horizontal/>
      </border>
    </dxf>
    <dxf>
      <font>
        <color theme="0"/>
      </font>
    </dxf>
    <dxf>
      <border>
        <left style="thin">
          <color auto="1"/>
        </left>
        <right style="thin">
          <color auto="1"/>
        </right>
        <top style="thin">
          <color theme="0"/>
        </top>
        <bottom style="thin">
          <color theme="0"/>
        </bottom>
        <vertical/>
        <horizontal/>
      </border>
    </dxf>
    <dxf>
      <border>
        <left style="thin">
          <color theme="1"/>
        </left>
        <right style="thin">
          <color theme="1"/>
        </right>
        <top style="thin">
          <color theme="0"/>
        </top>
        <bottom style="thin">
          <color theme="0"/>
        </bottom>
        <vertical/>
        <horizontal/>
      </border>
    </dxf>
    <dxf>
      <border>
        <left style="thin">
          <color theme="1"/>
        </left>
        <right style="thin">
          <color theme="1"/>
        </right>
        <top style="thin">
          <color theme="0"/>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theme="0"/>
        </top>
        <bottom style="thin">
          <color theme="0"/>
        </bottom>
        <vertical/>
        <horizontal/>
      </border>
    </dxf>
    <dxf>
      <border>
        <bottom style="thin">
          <color theme="0"/>
        </bottom>
        <vertical/>
        <horizontal/>
      </border>
    </dxf>
    <dxf>
      <border>
        <left style="thin">
          <color auto="1"/>
        </left>
        <right style="thin">
          <color auto="1"/>
        </right>
        <top style="thin">
          <color theme="0"/>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bottom style="thin">
          <color auto="1"/>
        </bottom>
        <vertical/>
        <horizontal/>
      </border>
    </dxf>
    <dxf>
      <font>
        <color theme="0"/>
      </font>
      <border>
        <left style="thin">
          <color auto="1"/>
        </left>
        <right style="thin">
          <color auto="1"/>
        </right>
        <top style="thin">
          <color theme="0"/>
        </top>
        <bottom style="thin">
          <color theme="0"/>
        </bottom>
        <vertical/>
        <horizontal/>
      </border>
    </dxf>
    <dxf>
      <border>
        <left style="thin">
          <color theme="1"/>
        </left>
        <right style="thin">
          <color theme="1"/>
        </right>
        <bottom style="thin">
          <color theme="0"/>
        </bottom>
        <vertical/>
        <horizontal/>
      </border>
    </dxf>
    <dxf>
      <border>
        <left style="thin">
          <color auto="1"/>
        </left>
        <top style="thin">
          <color theme="0"/>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theme="0"/>
        </top>
        <bottom style="thin">
          <color theme="0"/>
        </bottom>
        <vertical/>
        <horizontal/>
      </border>
    </dxf>
    <dxf>
      <border>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vertical/>
        <horizontal/>
      </border>
    </dxf>
    <dxf>
      <font>
        <color theme="0"/>
      </font>
      <border>
        <left style="thin">
          <color theme="1"/>
        </left>
        <right style="thin">
          <color theme="1"/>
        </right>
        <top style="thin">
          <color theme="0"/>
        </top>
        <bottom style="thin">
          <color theme="0"/>
        </bottom>
        <vertical/>
        <horizontal/>
      </border>
    </dxf>
    <dxf>
      <border>
        <left style="thin">
          <color auto="1"/>
        </left>
        <vertical/>
        <horizontal/>
      </border>
    </dxf>
    <dxf>
      <border>
        <bottom style="thin">
          <color theme="0"/>
        </bottom>
      </border>
    </dxf>
    <dxf>
      <border>
        <left style="thin">
          <color auto="1"/>
        </left>
        <right style="thin">
          <color auto="1"/>
        </right>
        <top style="thin">
          <color auto="1"/>
        </top>
        <bottom style="thin">
          <color auto="1"/>
        </bottom>
        <vertical/>
        <horizontal/>
      </border>
    </dxf>
    <dxf>
      <font>
        <u/>
      </font>
    </dxf>
    <dxf>
      <border>
        <left style="thin">
          <color auto="1"/>
        </left>
        <right style="thin">
          <color auto="1"/>
        </right>
        <top style="thin">
          <color auto="1"/>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theme="0"/>
        </bottom>
        <vertical/>
        <horizontal/>
      </border>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style="thin">
          <color auto="1"/>
        </top>
        <bottom style="thin">
          <color theme="0"/>
        </bottom>
        <vertical/>
        <horizontal/>
      </border>
    </dxf>
    <dxf>
      <border>
        <left style="thin">
          <color auto="1"/>
        </left>
        <right style="thin">
          <color auto="1"/>
        </right>
        <top style="thin">
          <color auto="1"/>
        </top>
        <bottom style="thin">
          <color auto="1"/>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theme="0"/>
        </top>
        <bottom style="thin">
          <color auto="1"/>
        </bottom>
        <vertical/>
        <horizontal/>
      </border>
    </dxf>
    <dxf>
      <border>
        <left style="thin">
          <color theme="1"/>
        </left>
        <right style="thin">
          <color theme="1"/>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vertical/>
        <horizontal/>
      </border>
    </dxf>
    <dxf>
      <border>
        <left style="thin">
          <color auto="1"/>
        </left>
        <right style="thin">
          <color auto="1"/>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theme="0"/>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theme="0"/>
        </top>
        <bottom style="thin">
          <color theme="0"/>
        </bottom>
        <vertical/>
        <horizontal/>
      </border>
    </dxf>
    <dxf>
      <border>
        <bottom style="thin">
          <color theme="0"/>
        </bottom>
        <vertical/>
        <horizontal/>
      </border>
    </dxf>
    <dxf>
      <border>
        <left style="thin">
          <color auto="1"/>
        </left>
        <right/>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theme="0"/>
        </top>
        <bottom style="thin">
          <color theme="0"/>
        </bottom>
        <vertical/>
        <horizontal/>
      </border>
    </dxf>
    <dxf>
      <border>
        <bottom style="thin">
          <color theme="0"/>
        </bottom>
        <vertical/>
        <horizontal/>
      </border>
    </dxf>
    <dxf>
      <border>
        <left/>
        <right style="thin">
          <color auto="1"/>
        </right>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vertical/>
        <horizontal/>
      </border>
    </dxf>
    <dxf>
      <border>
        <left style="thin">
          <color auto="1"/>
        </left>
        <right style="thin">
          <color auto="1"/>
        </right>
        <top style="thin">
          <color auto="1"/>
        </top>
        <bottom style="thin">
          <color theme="0"/>
        </bottom>
        <vertical/>
        <horizontal/>
      </border>
    </dxf>
    <dxf>
      <border>
        <left style="thin">
          <color auto="1"/>
        </left>
        <right style="thin">
          <color auto="1"/>
        </right>
        <top style="thin">
          <color theme="0"/>
        </top>
        <bottom style="thin">
          <color auto="1"/>
        </bottom>
        <vertical/>
        <horizontal/>
      </border>
    </dxf>
    <dxf>
      <border>
        <left style="thin">
          <color auto="1"/>
        </left>
        <right style="thin">
          <color auto="1"/>
        </right>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theme="0"/>
        </bottom>
        <vertical/>
        <horizontal/>
      </border>
    </dxf>
    <dxf>
      <border>
        <left style="thin">
          <color theme="1"/>
        </left>
        <right style="thin">
          <color theme="1"/>
        </right>
        <top style="thin">
          <color theme="0"/>
        </top>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border>
    </dxf>
    <dxf>
      <border>
        <left style="thin">
          <color auto="1"/>
        </left>
        <right style="thin">
          <color auto="1"/>
        </right>
        <top style="thin">
          <color auto="1"/>
        </top>
        <bottom style="thin">
          <color theme="0"/>
        </bottom>
        <vertical/>
        <horizontal/>
      </border>
    </dxf>
    <dxf>
      <border>
        <left style="thin">
          <color auto="1"/>
        </left>
        <right style="thin">
          <color auto="1"/>
        </right>
        <top style="thin">
          <color theme="0"/>
        </top>
        <bottom style="thin">
          <color auto="1"/>
        </bottom>
        <vertical/>
        <horizontal/>
      </border>
    </dxf>
    <dxf>
      <border>
        <left style="thin">
          <color auto="1"/>
        </left>
        <right style="thin">
          <color auto="1"/>
        </right>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theme="0"/>
        </bottom>
        <vertical/>
        <horizontal/>
      </border>
    </dxf>
    <dxf>
      <font>
        <color theme="0"/>
      </font>
      <border>
        <left style="thin">
          <color theme="1"/>
        </left>
        <right style="thin">
          <color theme="1"/>
        </right>
        <top style="thin">
          <color theme="0"/>
        </top>
        <bottom style="thin">
          <color theme="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border>
    </dxf>
    <dxf>
      <font>
        <color theme="0"/>
      </font>
      <border>
        <left style="thin">
          <color theme="1"/>
        </left>
        <right style="thin">
          <color theme="1"/>
        </right>
        <top style="thin">
          <color theme="0"/>
        </top>
        <bottom style="thin">
          <color theme="1"/>
        </bottom>
        <vertical/>
        <horizontal/>
      </border>
    </dxf>
    <dxf>
      <font>
        <color theme="0"/>
      </font>
      <border>
        <left style="thin">
          <color auto="1"/>
        </left>
        <right style="thin">
          <color auto="1"/>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vertical/>
        <horizontal/>
      </border>
    </dxf>
    <dxf>
      <border>
        <left style="thin">
          <color auto="1"/>
        </left>
        <right style="thin">
          <color auto="1"/>
        </right>
        <top style="thin">
          <color auto="1"/>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vertical/>
        <horizontal/>
      </border>
    </dxf>
    <dxf>
      <border>
        <left style="thin">
          <color auto="1"/>
        </left>
        <right style="thin">
          <color auto="1"/>
        </right>
        <top style="thin">
          <color auto="1"/>
        </top>
        <bottom style="thin">
          <color auto="1"/>
        </bottom>
        <vertical/>
        <horizontal/>
      </border>
    </dxf>
    <dxf>
      <border>
        <left/>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vertical/>
        <horizontal/>
      </border>
    </dxf>
    <dxf>
      <border>
        <left style="thin">
          <color auto="1"/>
        </left>
        <right style="thin">
          <color auto="1"/>
        </right>
        <top style="thin">
          <color auto="1"/>
        </top>
        <bottom style="thin">
          <color auto="1"/>
        </bottom>
      </border>
    </dxf>
    <dxf>
      <border>
        <left/>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vertical/>
        <horizontal/>
      </border>
    </dxf>
    <dxf>
      <border>
        <left/>
        <right/>
        <top/>
        <bottom style="thin">
          <color auto="1"/>
        </bottom>
        <vertical/>
        <horizontal/>
      </border>
    </dxf>
    <dxf>
      <border>
        <left style="thin">
          <color auto="1"/>
        </left>
        <right style="thin">
          <color auto="1"/>
        </right>
        <top style="thin">
          <color auto="1"/>
        </top>
        <bottom style="thin">
          <color auto="1"/>
        </bottom>
        <vertical/>
        <horizontal/>
      </border>
    </dxf>
    <dxf>
      <border>
        <left/>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vertical/>
        <horizontal/>
      </border>
    </dxf>
    <dxf>
      <border>
        <left/>
        <right/>
        <top/>
        <bottom style="thin">
          <color auto="1"/>
        </bottom>
        <vertical/>
        <horizontal/>
      </border>
    </dxf>
    <dxf>
      <border>
        <left style="thin">
          <color auto="1"/>
        </left>
        <right style="thin">
          <color auto="1"/>
        </right>
        <top style="thin">
          <color auto="1"/>
        </top>
        <bottom style="thin">
          <color theme="0"/>
        </bottom>
        <vertical/>
        <horizontal/>
      </border>
    </dxf>
    <dxf>
      <border>
        <left style="thin">
          <color auto="1"/>
        </left>
        <right style="thin">
          <color auto="1"/>
        </right>
        <top style="thin">
          <color theme="0"/>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style="thin">
          <color auto="1"/>
        </top>
        <bottom style="thin">
          <color auto="1"/>
        </bottom>
        <vertical/>
        <horizontal/>
      </border>
    </dxf>
    <dxf>
      <border>
        <bottom style="thin">
          <color auto="1"/>
        </bottom>
        <vertical/>
        <horizontal/>
      </border>
    </dxf>
    <dxf>
      <border>
        <left style="thin">
          <color auto="1"/>
        </left>
        <right style="thin">
          <color auto="1"/>
        </right>
        <top style="thin">
          <color theme="0"/>
        </top>
        <bottom style="thin">
          <color auto="1"/>
        </bottom>
        <vertical/>
        <horizontal/>
      </border>
    </dxf>
    <dxf>
      <border>
        <left style="thin">
          <color theme="1"/>
        </left>
        <right style="thin">
          <color theme="1"/>
        </right>
        <top style="thin">
          <color theme="0"/>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bottom style="thin">
          <color auto="1"/>
        </bottom>
        <vertical/>
        <horizontal/>
      </border>
    </dxf>
    <dxf>
      <border>
        <left style="thin">
          <color auto="1"/>
        </left>
        <right style="thin">
          <color auto="1"/>
        </right>
        <top style="thin">
          <color theme="0"/>
        </top>
        <bottom style="thin">
          <color theme="0"/>
        </bottom>
        <vertical/>
        <horizontal/>
      </border>
    </dxf>
    <dxf>
      <border>
        <right style="thin">
          <color auto="1"/>
        </right>
        <vertical/>
        <horizontal/>
      </border>
    </dxf>
    <dxf>
      <border>
        <left style="thin">
          <color auto="1"/>
        </left>
        <right style="thin">
          <color auto="1"/>
        </right>
        <top style="thin">
          <color theme="0"/>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theme="0"/>
        </top>
        <bottom style="thin">
          <color theme="0"/>
        </bottom>
        <vertical/>
        <horizontal/>
      </border>
    </dxf>
    <dxf>
      <border>
        <right style="thin">
          <color auto="1"/>
        </right>
        <vertical/>
        <horizontal/>
      </border>
    </dxf>
    <dxf>
      <border>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theme="0"/>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bottom style="thin">
          <color auto="1"/>
        </bottom>
        <vertical/>
        <horizontal/>
      </border>
    </dxf>
    <dxf>
      <border>
        <left style="thin">
          <color auto="1"/>
        </left>
        <right style="thin">
          <color auto="1"/>
        </right>
        <top style="thin">
          <color auto="1"/>
        </top>
        <bottom style="thin">
          <color auto="1"/>
        </bottom>
        <vertical/>
        <horizontal/>
      </border>
    </dxf>
    <dxf>
      <font>
        <b/>
        <i val="0"/>
      </font>
      <border>
        <top style="thin">
          <color auto="1"/>
        </top>
        <bottom style="thin">
          <color auto="1"/>
        </bottom>
        <vertical/>
        <horizontal/>
      </border>
    </dxf>
    <dxf>
      <border>
        <bottom/>
        <vertical/>
        <horizontal/>
      </border>
    </dxf>
    <dxf>
      <border>
        <bottom/>
        <vertical/>
        <horizontal/>
      </border>
    </dxf>
    <dxf>
      <border>
        <bottom/>
        <vertical/>
        <horizontal/>
      </border>
    </dxf>
    <dxf>
      <border>
        <left/>
        <right/>
        <top style="thin">
          <color auto="1"/>
        </top>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left/>
        <right/>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vertical/>
        <horizontal/>
      </border>
    </dxf>
    <dxf>
      <font>
        <color rgb="FF3D6864"/>
      </font>
      <fill>
        <patternFill>
          <bgColor rgb="FF3D6864"/>
        </patternFill>
      </fill>
    </dxf>
    <dxf>
      <font>
        <color theme="0"/>
      </font>
      <fill>
        <patternFill patternType="lightUp">
          <fgColor theme="0" tint="-0.24994659260841701"/>
          <bgColor theme="0"/>
        </patternFill>
      </fill>
    </dxf>
    <dxf>
      <fill>
        <patternFill>
          <bgColor theme="0"/>
        </patternFill>
      </fill>
    </dxf>
    <dxf>
      <border>
        <left/>
        <right style="thin">
          <color theme="0" tint="-0.499984740745262"/>
        </right>
        <top style="thin">
          <color theme="0" tint="-0.499984740745262"/>
        </top>
        <bottom style="thin">
          <color theme="0" tint="-0.499984740745262"/>
        </bottom>
        <vertical/>
        <horizontal/>
      </border>
    </dxf>
    <dxf>
      <font>
        <color rgb="FF3D6864"/>
      </font>
      <fill>
        <patternFill>
          <bgColor rgb="FF3D6864"/>
        </patternFill>
      </fill>
    </dxf>
    <dxf>
      <font>
        <color theme="0"/>
      </font>
      <fill>
        <patternFill patternType="lightUp">
          <fgColor theme="0" tint="-0.24994659260841701"/>
          <bgColor theme="0"/>
        </patternFill>
      </fill>
    </dxf>
    <dxf>
      <font>
        <color theme="0"/>
      </font>
      <fill>
        <patternFill patternType="lightUp">
          <fgColor theme="0" tint="-0.24994659260841701"/>
          <bgColor theme="0"/>
        </patternFill>
      </fill>
    </dxf>
    <dxf>
      <font>
        <color theme="0"/>
      </font>
      <fill>
        <patternFill patternType="lightUp">
          <fgColor theme="0" tint="-0.24994659260841701"/>
          <bgColor theme="0"/>
        </patternFill>
      </fill>
    </dxf>
    <dxf>
      <font>
        <color theme="0"/>
      </font>
      <fill>
        <patternFill patternType="lightUp">
          <fgColor theme="0" tint="-0.24994659260841701"/>
          <bgColor theme="0"/>
        </patternFill>
      </fill>
    </dxf>
    <dxf>
      <font>
        <color theme="0"/>
      </font>
      <fill>
        <patternFill patternType="lightUp">
          <fgColor theme="0" tint="-0.24994659260841701"/>
          <bgColor theme="0"/>
        </patternFill>
      </fill>
    </dxf>
    <dxf>
      <font>
        <color theme="0"/>
      </font>
      <fill>
        <patternFill patternType="lightUp">
          <fgColor theme="0" tint="-0.24994659260841701"/>
          <bgColor theme="0"/>
        </patternFill>
      </fill>
    </dxf>
    <dxf>
      <font>
        <color theme="0"/>
      </font>
      <fill>
        <patternFill patternType="lightUp">
          <fgColor theme="0" tint="-0.24994659260841701"/>
          <bgColor theme="0"/>
        </patternFill>
      </fill>
    </dxf>
    <dxf>
      <font>
        <color theme="0"/>
      </font>
      <fill>
        <patternFill patternType="lightUp">
          <fgColor theme="0" tint="-0.24994659260841701"/>
          <bgColor theme="0"/>
        </patternFill>
      </fill>
    </dxf>
    <dxf>
      <font>
        <color theme="0"/>
      </font>
      <fill>
        <patternFill patternType="lightUp">
          <fgColor theme="0" tint="-0.24994659260841701"/>
          <bgColor theme="0"/>
        </patternFill>
      </fill>
    </dxf>
    <dxf>
      <fill>
        <patternFill>
          <bgColor theme="0"/>
        </patternFill>
      </fill>
    </dxf>
    <dxf>
      <border>
        <left/>
        <right style="thin">
          <color theme="0" tint="-0.499984740745262"/>
        </right>
        <top style="thin">
          <color theme="0" tint="-0.499984740745262"/>
        </top>
        <bottom style="thin">
          <color theme="0" tint="-0.499984740745262"/>
        </bottom>
        <vertical/>
        <horizontal/>
      </border>
    </dxf>
    <dxf>
      <border>
        <left/>
        <right/>
        <vertical/>
        <horizontal/>
      </border>
    </dxf>
    <dxf>
      <border>
        <left/>
        <right style="thin">
          <color theme="0" tint="-0.499984740745262"/>
        </right>
        <top/>
        <bottom/>
        <vertical/>
        <horizontal/>
      </border>
    </dxf>
    <dxf>
      <border>
        <left style="thin">
          <color theme="0"/>
        </left>
        <vertical/>
        <horizontal/>
      </border>
    </dxf>
    <dxf>
      <border>
        <left style="thin">
          <color theme="0"/>
        </left>
        <vertical/>
        <horizontal/>
      </border>
    </dxf>
    <dxf>
      <fill>
        <patternFill>
          <bgColor rgb="FFE6F0F0"/>
        </patternFill>
      </fill>
      <border>
        <left style="thin">
          <color theme="0" tint="-0.499984740745262"/>
        </left>
        <right style="thin">
          <color theme="0"/>
        </right>
        <top style="thin">
          <color theme="0" tint="-0.499984740745262"/>
        </top>
        <bottom style="thin">
          <color theme="0"/>
        </bottom>
        <vertical/>
        <horizontal/>
      </border>
    </dxf>
    <dxf>
      <font>
        <color rgb="FF3D6864"/>
      </font>
      <fill>
        <patternFill>
          <bgColor rgb="FF3D6864"/>
        </patternFill>
      </fill>
    </dxf>
    <dxf>
      <fill>
        <patternFill>
          <bgColor theme="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rgb="FFE6F0F0"/>
        </patternFill>
      </fill>
    </dxf>
    <dxf>
      <font>
        <color rgb="FF3D6864"/>
      </font>
      <fill>
        <patternFill>
          <bgColor rgb="FF3D6864"/>
        </patternFill>
      </fill>
    </dxf>
    <dxf>
      <font>
        <color theme="0"/>
      </font>
      <fill>
        <patternFill patternType="lightUp">
          <fgColor theme="0" tint="-0.24994659260841701"/>
          <bgColor theme="0"/>
        </patternFill>
      </fill>
    </dxf>
    <dxf>
      <font>
        <color theme="0"/>
      </font>
      <fill>
        <patternFill patternType="lightUp">
          <fgColor theme="0" tint="-0.24994659260841701"/>
          <bgColor theme="0"/>
        </patternFill>
      </fill>
    </dxf>
    <dxf>
      <font>
        <color theme="0"/>
      </font>
      <fill>
        <patternFill patternType="lightUp">
          <fgColor theme="0" tint="-0.24994659260841701"/>
          <bgColor theme="0"/>
        </patternFill>
      </fill>
    </dxf>
    <dxf>
      <font>
        <color theme="0"/>
      </font>
      <fill>
        <patternFill patternType="lightUp">
          <fgColor theme="0" tint="-0.24994659260841701"/>
          <bgColor theme="0"/>
        </patternFill>
      </fill>
    </dxf>
    <dxf>
      <font>
        <color theme="0"/>
      </font>
      <fill>
        <patternFill patternType="lightUp">
          <fgColor theme="0" tint="-0.24994659260841701"/>
          <bgColor theme="0"/>
        </patternFill>
      </fill>
    </dxf>
    <dxf>
      <font>
        <color theme="0"/>
      </font>
      <fill>
        <patternFill patternType="lightUp">
          <fgColor theme="0" tint="-0.24994659260841701"/>
          <bgColor theme="0"/>
        </patternFill>
      </fill>
    </dxf>
    <dxf>
      <font>
        <color theme="0"/>
      </font>
      <fill>
        <patternFill patternType="lightUp">
          <fgColor theme="0" tint="-0.24994659260841701"/>
          <bgColor theme="0"/>
        </patternFill>
      </fill>
    </dxf>
    <dxf>
      <font>
        <color theme="0"/>
      </font>
      <fill>
        <patternFill patternType="lightUp">
          <fgColor theme="0" tint="-0.24994659260841701"/>
          <bgColor theme="0"/>
        </patternFill>
      </fill>
    </dxf>
    <dxf>
      <font>
        <color theme="0"/>
      </font>
      <fill>
        <patternFill patternType="lightUp">
          <fgColor theme="0" tint="-0.24994659260841701"/>
          <bgColor theme="0"/>
        </patternFill>
      </fill>
    </dxf>
    <dxf>
      <font>
        <color theme="0"/>
      </font>
      <fill>
        <patternFill patternType="lightUp">
          <fgColor theme="0" tint="-0.24994659260841701"/>
          <bgColor theme="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0"/>
        </patternFill>
      </fill>
    </dxf>
    <dxf>
      <border>
        <left/>
        <right style="thin">
          <color theme="0" tint="-0.499984740745262"/>
        </right>
        <top style="thin">
          <color theme="0" tint="-0.499984740745262"/>
        </top>
        <bottom style="thin">
          <color theme="0" tint="-0.499984740745262"/>
        </bottom>
        <vertical/>
        <horizontal/>
      </border>
    </dxf>
    <dxf>
      <fill>
        <patternFill>
          <bgColor rgb="FFE6F0F0"/>
        </patternFill>
      </fill>
    </dxf>
    <dxf>
      <font>
        <color rgb="FF3D6864"/>
      </font>
      <fill>
        <patternFill>
          <bgColor rgb="FF3D6864"/>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0"/>
        </patternFill>
      </fill>
    </dxf>
    <dxf>
      <border>
        <left/>
        <right style="thin">
          <color theme="0" tint="-0.499984740745262"/>
        </right>
        <top style="thin">
          <color theme="0" tint="-0.499984740745262"/>
        </top>
        <bottom style="thin">
          <color theme="0" tint="-0.499984740745262"/>
        </bottom>
        <vertical/>
        <horizontal/>
      </border>
    </dxf>
    <dxf>
      <fill>
        <patternFill>
          <bgColor rgb="FFE6F0F0"/>
        </patternFill>
      </fill>
    </dxf>
    <dxf>
      <font>
        <color rgb="FF3D6864"/>
      </font>
      <fill>
        <patternFill>
          <bgColor rgb="FF3D6864"/>
        </patternFill>
      </fill>
    </dxf>
    <dxf>
      <fill>
        <patternFill>
          <bgColor theme="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auto="1"/>
      </font>
      <fill>
        <patternFill>
          <bgColor rgb="FFE6F0F0"/>
        </patternFill>
      </fill>
    </dxf>
    <dxf>
      <font>
        <color rgb="FF3D6864"/>
      </font>
      <fill>
        <patternFill>
          <bgColor rgb="FF3D6864"/>
        </patternFill>
      </fill>
    </dxf>
    <dxf>
      <fill>
        <patternFill>
          <bgColor theme="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rgb="FF3D6864"/>
      </font>
      <fill>
        <patternFill>
          <bgColor rgb="FF3D6864"/>
        </patternFill>
      </fill>
    </dxf>
    <dxf>
      <fill>
        <patternFill>
          <bgColor theme="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rgb="FFE6F0F0"/>
        </patternFill>
      </fill>
    </dxf>
    <dxf>
      <font>
        <color rgb="FF3D6864"/>
      </font>
      <fill>
        <patternFill>
          <bgColor rgb="FF3D6864"/>
        </patternFill>
      </fill>
    </dxf>
    <dxf>
      <fill>
        <patternFill>
          <bgColor theme="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rgb="FFE6F0F0"/>
        </patternFill>
      </fill>
    </dxf>
    <dxf>
      <fill>
        <patternFill>
          <bgColor rgb="FFE6F0F0"/>
        </patternFill>
      </fill>
      <border>
        <left style="thin">
          <color theme="0" tint="-0.499984740745262"/>
        </left>
        <right style="thin">
          <color theme="0"/>
        </right>
        <top style="thin">
          <color theme="0" tint="-0.499984740745262"/>
        </top>
        <bottom style="thin">
          <color theme="0"/>
        </bottom>
      </border>
    </dxf>
    <dxf>
      <border>
        <right style="thin">
          <color theme="0" tint="-0.499984740745262"/>
        </right>
        <vertical/>
        <horizontal/>
      </border>
    </dxf>
    <dxf>
      <border>
        <right style="thin">
          <color theme="0" tint="-0.499984740745262"/>
        </right>
        <vertical/>
        <horizontal/>
      </border>
    </dxf>
    <dxf>
      <border>
        <left/>
        <right/>
        <top/>
        <bottom style="thin">
          <color theme="0" tint="-0.499984740745262"/>
        </bottom>
        <vertical/>
        <horizontal/>
      </border>
    </dxf>
    <dxf>
      <border>
        <bottom style="thin">
          <color theme="0" tint="-0.499984740745262"/>
        </bottom>
        <vertical/>
        <horizontal/>
      </border>
    </dxf>
    <dxf>
      <border>
        <left style="thin">
          <color theme="0"/>
        </left>
        <vertical/>
        <horizontal/>
      </border>
    </dxf>
    <dxf>
      <border>
        <top style="thin">
          <color theme="0"/>
        </top>
        <vertical/>
        <horizontal/>
      </border>
    </dxf>
    <dxf>
      <border>
        <left style="thin">
          <color theme="0"/>
        </left>
        <vertical/>
        <horizontal/>
      </border>
    </dxf>
    <dxf>
      <border>
        <top style="thin">
          <color theme="0"/>
        </top>
        <vertical/>
        <horizontal/>
      </border>
    </dxf>
    <dxf>
      <fill>
        <patternFill>
          <bgColor rgb="FFE6F0F0"/>
        </patternFill>
      </fill>
      <border>
        <left/>
        <right/>
        <top/>
        <bottom/>
        <vertical/>
        <horizontal/>
      </border>
    </dxf>
    <dxf>
      <fill>
        <patternFill>
          <bgColor rgb="FFE6F0F0"/>
        </patternFill>
      </fill>
    </dxf>
    <dxf>
      <border>
        <left style="thin">
          <color theme="0"/>
        </left>
        <right/>
        <vertical/>
        <horizontal/>
      </border>
    </dxf>
    <dxf>
      <border>
        <left/>
        <right style="thin">
          <color theme="0" tint="-0.499984740745262"/>
        </right>
        <top/>
        <bottom/>
        <vertical/>
        <horizontal/>
      </border>
    </dxf>
    <dxf>
      <fill>
        <patternFill>
          <bgColor rgb="FFE6F0F0"/>
        </patternFill>
      </fill>
      <border>
        <left/>
        <right/>
        <top/>
        <bottom/>
        <vertical/>
        <horizontal/>
      </border>
    </dxf>
    <dxf>
      <border>
        <left style="thin">
          <color theme="0" tint="-0.499984740745262"/>
        </left>
        <right/>
        <top style="thin">
          <color theme="0" tint="-0.499984740745262"/>
        </top>
        <bottom/>
        <vertical/>
        <horizontal/>
      </border>
    </dxf>
    <dxf>
      <fill>
        <patternFill>
          <bgColor rgb="FFE6F0F0"/>
        </patternFill>
      </fill>
    </dxf>
    <dxf>
      <border>
        <left style="thin">
          <color theme="0" tint="-0.499984740745262"/>
        </left>
        <right/>
        <top/>
        <bottom style="thin">
          <color theme="0"/>
        </bottom>
        <vertical/>
        <horizontal/>
      </border>
    </dxf>
    <dxf>
      <border>
        <top style="thin">
          <color theme="0"/>
        </top>
        <vertical/>
        <horizontal/>
      </border>
    </dxf>
    <dxf>
      <font>
        <u/>
        <color rgb="FF1108BE"/>
      </font>
    </dxf>
    <dxf>
      <font>
        <u/>
        <color rgb="FF1108BE"/>
      </font>
      <border>
        <right style="thin">
          <color theme="0"/>
        </right>
        <bottom style="thin">
          <color theme="0"/>
        </bottom>
        <vertical/>
        <horizontal/>
      </border>
    </dxf>
    <dxf>
      <fill>
        <patternFill>
          <bgColor rgb="FFE6F0F0"/>
        </patternFill>
      </fill>
      <border>
        <right/>
      </border>
    </dxf>
    <dxf>
      <border>
        <left/>
        <right/>
        <top/>
        <bottom style="thin">
          <color theme="0"/>
        </bottom>
      </border>
    </dxf>
    <dxf>
      <border>
        <left style="thin">
          <color theme="0" tint="-0.499984740745262"/>
        </left>
        <right/>
        <top/>
        <bottom/>
        <vertical/>
        <horizontal/>
      </border>
    </dxf>
    <dxf>
      <fill>
        <patternFill>
          <bgColor rgb="FFE6F0F0"/>
        </patternFill>
      </fill>
      <border>
        <left/>
        <right/>
        <top/>
        <bottom/>
        <vertical/>
        <horizontal/>
      </border>
    </dxf>
    <dxf>
      <fill>
        <patternFill>
          <bgColor rgb="FFE6F0F0"/>
        </patternFill>
      </fill>
      <border>
        <left style="thin">
          <color theme="0" tint="-0.499984740745262"/>
        </left>
        <right/>
        <top style="thin">
          <color theme="0" tint="-0.499984740745262"/>
        </top>
        <bottom/>
        <vertical/>
        <horizontal/>
      </border>
    </dxf>
    <dxf>
      <fill>
        <patternFill>
          <bgColor rgb="FFE6F0F0"/>
        </patternFill>
      </fill>
      <border>
        <left style="thin">
          <color theme="0" tint="-0.499984740745262"/>
        </left>
        <right style="thin">
          <color theme="0"/>
        </right>
        <top style="thin">
          <color theme="0" tint="-0.499984740745262"/>
        </top>
        <bottom style="thin">
          <color theme="0"/>
        </bottom>
      </border>
    </dxf>
    <dxf>
      <fill>
        <patternFill>
          <bgColor rgb="FFE6F0F0"/>
        </patternFill>
      </fill>
      <border>
        <left style="thin">
          <color theme="0" tint="-0.499984740745262"/>
        </left>
        <right style="thin">
          <color theme="0"/>
        </right>
        <top style="thin">
          <color theme="0" tint="-0.499984740745262"/>
        </top>
        <bottom/>
        <vertical/>
        <horizontal/>
      </border>
    </dxf>
    <dxf>
      <fill>
        <patternFill>
          <bgColor rgb="FFE6F0F0"/>
        </patternFill>
      </fill>
      <border>
        <left/>
        <right/>
        <top/>
        <bottom/>
        <vertical/>
        <horizontal/>
      </border>
    </dxf>
    <dxf>
      <font>
        <u/>
        <color rgb="FF1108BE"/>
      </font>
    </dxf>
    <dxf>
      <font>
        <u/>
        <color rgb="FF1108BE"/>
      </font>
    </dxf>
    <dxf>
      <font>
        <u/>
        <color rgb="FF1108BE"/>
      </font>
    </dxf>
    <dxf>
      <font>
        <u/>
        <color rgb="FF1108BE"/>
      </font>
    </dxf>
    <dxf>
      <font>
        <strike val="0"/>
        <u/>
        <color rgb="FF1108BE"/>
      </font>
      <border>
        <bottom style="thin">
          <color theme="0"/>
        </bottom>
      </border>
    </dxf>
    <dxf>
      <font>
        <u/>
        <color rgb="FF1108BE"/>
      </font>
    </dxf>
    <dxf>
      <font>
        <u/>
        <color rgb="FF1108BE"/>
      </font>
    </dxf>
    <dxf>
      <fill>
        <patternFill>
          <bgColor rgb="FFE6F0F0"/>
        </patternFill>
      </fill>
      <border>
        <left style="thin">
          <color theme="0" tint="-0.499984740745262"/>
        </left>
        <right style="thin">
          <color theme="0"/>
        </right>
        <top/>
        <bottom/>
        <vertical/>
        <horizontal/>
      </border>
    </dxf>
    <dxf>
      <font>
        <u/>
        <color rgb="FF1108BE"/>
      </font>
      <border>
        <bottom style="thin">
          <color theme="0"/>
        </bottom>
      </border>
    </dxf>
    <dxf>
      <font>
        <u/>
        <color rgb="FF1108BE"/>
      </font>
      <border>
        <bottom style="thin">
          <color theme="0"/>
        </bottom>
      </border>
    </dxf>
    <dxf>
      <font>
        <u/>
        <color rgb="FF1108BE"/>
      </font>
    </dxf>
    <dxf>
      <font>
        <u/>
        <color rgb="FF1108BE"/>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3D6864"/>
        </patternFill>
      </fill>
    </dxf>
    <dxf>
      <fill>
        <patternFill>
          <bgColor theme="0"/>
        </patternFill>
      </fill>
    </dxf>
    <dxf>
      <fill>
        <patternFill>
          <bgColor rgb="FF3D6864"/>
        </patternFill>
      </fill>
    </dxf>
    <dxf>
      <fill>
        <patternFill>
          <bgColor rgb="FF3D6864"/>
        </patternFill>
      </fill>
    </dxf>
    <dxf>
      <fill>
        <patternFill>
          <bgColor rgb="FF3D6864"/>
        </patternFill>
      </fill>
    </dxf>
    <dxf>
      <fill>
        <patternFill>
          <bgColor theme="0"/>
        </patternFill>
      </fill>
    </dxf>
    <dxf>
      <fill>
        <patternFill>
          <bgColor rgb="FFE6F0F0"/>
        </patternFill>
      </fill>
      <border>
        <left style="thin">
          <color theme="0" tint="-0.499984740745262"/>
        </left>
        <right style="thin">
          <color rgb="FF9CC4C0"/>
        </right>
        <top style="thin">
          <color rgb="FF27413F"/>
        </top>
        <bottom style="thin">
          <color rgb="FF9CC4C0"/>
        </bottom>
        <vertical/>
        <horizontal/>
      </border>
    </dxf>
    <dxf>
      <fill>
        <patternFill>
          <bgColor rgb="FFE6F0F0"/>
        </patternFill>
      </fill>
      <border>
        <left style="thin">
          <color rgb="FF27413F"/>
        </left>
        <right style="thin">
          <color rgb="FF9CC4C0"/>
        </right>
        <top style="thin">
          <color rgb="FF27413F"/>
        </top>
        <bottom style="thin">
          <color rgb="FF9CC4C0"/>
        </bottom>
        <vertical/>
        <horizontal/>
      </border>
    </dxf>
    <dxf>
      <fill>
        <patternFill>
          <bgColor rgb="FFE6F0F0"/>
        </patternFill>
      </fill>
      <border>
        <left style="thin">
          <color theme="0" tint="-0.499984740745262"/>
        </left>
        <right style="thin">
          <color rgb="FF9CC4C0"/>
        </right>
        <top style="thin">
          <color rgb="FF27413F"/>
        </top>
        <bottom style="thin">
          <color rgb="FF9CC4C0"/>
        </bottom>
        <vertical/>
        <horizontal/>
      </border>
    </dxf>
    <dxf>
      <fill>
        <patternFill>
          <bgColor rgb="FFE6F0F0"/>
        </patternFill>
      </fill>
      <border>
        <left style="thin">
          <color rgb="FF27413F"/>
        </left>
        <right style="thin">
          <color rgb="FF9CC4C0"/>
        </right>
        <top style="thin">
          <color rgb="FF27413F"/>
        </top>
        <bottom style="thin">
          <color rgb="FF9CC4C0"/>
        </bottom>
        <vertical/>
        <horizontal/>
      </border>
    </dxf>
    <dxf>
      <fill>
        <patternFill>
          <bgColor rgb="FFE6F0F0"/>
        </patternFill>
      </fill>
      <border>
        <left style="thin">
          <color theme="0" tint="-0.499984740745262"/>
        </left>
        <right style="thin">
          <color rgb="FF9CC4C0"/>
        </right>
        <top style="thin">
          <color rgb="FF27413F"/>
        </top>
        <bottom style="thin">
          <color rgb="FF9CC4C0"/>
        </bottom>
        <vertical/>
        <horizontal/>
      </border>
    </dxf>
    <dxf>
      <fill>
        <patternFill>
          <bgColor rgb="FFE6F0F0"/>
        </patternFill>
      </fill>
      <border>
        <left style="thin">
          <color rgb="FF27413F"/>
        </left>
        <right style="thin">
          <color rgb="FF9CC4C0"/>
        </right>
        <top style="thin">
          <color rgb="FF27413F"/>
        </top>
        <bottom style="thin">
          <color rgb="FF9CC4C0"/>
        </bottom>
        <vertical/>
        <horizontal/>
      </border>
    </dxf>
    <dxf>
      <fill>
        <patternFill>
          <bgColor rgb="FFE6F0F0"/>
        </patternFill>
      </fill>
      <border>
        <left style="thin">
          <color theme="0" tint="-0.499984740745262"/>
        </left>
        <right style="thin">
          <color rgb="FF9CC4C0"/>
        </right>
        <top style="thin">
          <color rgb="FF27413F"/>
        </top>
        <bottom style="thin">
          <color rgb="FF9CC4C0"/>
        </bottom>
        <vertical/>
        <horizontal/>
      </border>
    </dxf>
    <dxf>
      <fill>
        <patternFill>
          <bgColor rgb="FFE6F0F0"/>
        </patternFill>
      </fill>
      <border>
        <left style="thin">
          <color rgb="FF27413F"/>
        </left>
        <right style="thin">
          <color rgb="FF9CC4C0"/>
        </right>
        <top style="thin">
          <color rgb="FF27413F"/>
        </top>
        <bottom style="thin">
          <color rgb="FF9CC4C0"/>
        </bottom>
        <vertical/>
        <horizontal/>
      </border>
    </dxf>
    <dxf>
      <fill>
        <patternFill>
          <bgColor rgb="FFE6F0F0"/>
        </patternFill>
      </fill>
      <border>
        <left style="thin">
          <color theme="0" tint="-0.499984740745262"/>
        </left>
        <right style="thin">
          <color rgb="FF9CC4C0"/>
        </right>
        <top style="thin">
          <color rgb="FF27413F"/>
        </top>
        <bottom style="thin">
          <color rgb="FF9CC4C0"/>
        </bottom>
        <vertical/>
        <horizontal/>
      </border>
    </dxf>
    <dxf>
      <fill>
        <patternFill>
          <bgColor rgb="FFE6F0F0"/>
        </patternFill>
      </fill>
      <border>
        <left style="thin">
          <color rgb="FF27413F"/>
        </left>
        <right style="thin">
          <color rgb="FF9CC4C0"/>
        </right>
        <top style="thin">
          <color rgb="FF27413F"/>
        </top>
        <bottom style="thin">
          <color rgb="FF9CC4C0"/>
        </bottom>
        <vertical/>
        <horizontal/>
      </border>
    </dxf>
    <dxf>
      <fill>
        <patternFill>
          <bgColor rgb="FFE6F0F0"/>
        </patternFill>
      </fill>
      <border>
        <left style="thin">
          <color theme="0" tint="-0.499984740745262"/>
        </left>
        <right style="thin">
          <color rgb="FF9CC4C0"/>
        </right>
        <top style="thin">
          <color rgb="FF27413F"/>
        </top>
        <bottom style="thin">
          <color rgb="FF9CC4C0"/>
        </bottom>
        <vertical/>
        <horizontal/>
      </border>
    </dxf>
    <dxf>
      <fill>
        <patternFill>
          <bgColor rgb="FFE6F0F0"/>
        </patternFill>
      </fill>
      <border>
        <left style="thin">
          <color rgb="FF27413F"/>
        </left>
        <right style="thin">
          <color rgb="FF9CC4C0"/>
        </right>
        <top style="thin">
          <color rgb="FF27413F"/>
        </top>
        <bottom style="thin">
          <color rgb="FF9CC4C0"/>
        </bottom>
        <vertical/>
        <horizontal/>
      </border>
    </dxf>
    <dxf>
      <fill>
        <patternFill>
          <bgColor rgb="FFE6F0F0"/>
        </patternFill>
      </fill>
      <border>
        <left style="thin">
          <color theme="0" tint="-0.499984740745262"/>
        </left>
        <right style="thin">
          <color rgb="FF9CC4C0"/>
        </right>
        <top style="thin">
          <color rgb="FF27413F"/>
        </top>
        <bottom style="thin">
          <color rgb="FF9CC4C0"/>
        </bottom>
        <vertical/>
        <horizontal/>
      </border>
    </dxf>
    <dxf>
      <fill>
        <patternFill>
          <bgColor rgb="FFE6F0F0"/>
        </patternFill>
      </fill>
      <border>
        <left style="thin">
          <color rgb="FF27413F"/>
        </left>
        <right style="thin">
          <color rgb="FF9CC4C0"/>
        </right>
        <top style="thin">
          <color rgb="FF27413F"/>
        </top>
        <bottom style="thin">
          <color rgb="FF9CC4C0"/>
        </bottom>
        <vertical/>
        <horizontal/>
      </border>
    </dxf>
    <dxf>
      <fill>
        <patternFill>
          <bgColor rgb="FFE6F0F0"/>
        </patternFill>
      </fill>
      <border>
        <left style="thin">
          <color theme="0" tint="-0.499984740745262"/>
        </left>
        <right style="thin">
          <color rgb="FF9CC4C0"/>
        </right>
        <top style="thin">
          <color rgb="FF27413F"/>
        </top>
        <bottom style="thin">
          <color rgb="FF9CC4C0"/>
        </bottom>
        <vertical/>
        <horizontal/>
      </border>
    </dxf>
    <dxf>
      <fill>
        <patternFill>
          <bgColor rgb="FFE6F0F0"/>
        </patternFill>
      </fill>
      <border>
        <left style="thin">
          <color rgb="FF27413F"/>
        </left>
        <right style="thin">
          <color rgb="FF9CC4C0"/>
        </right>
        <top style="thin">
          <color rgb="FF27413F"/>
        </top>
        <bottom style="thin">
          <color rgb="FF9CC4C0"/>
        </bottom>
        <vertical/>
        <horizontal/>
      </border>
    </dxf>
    <dxf>
      <fill>
        <patternFill>
          <bgColor rgb="FFE6F0F0"/>
        </patternFill>
      </fill>
      <border>
        <left style="thin">
          <color theme="0" tint="-0.499984740745262"/>
        </left>
        <right style="thin">
          <color rgb="FF9CC4C0"/>
        </right>
        <top style="thin">
          <color rgb="FF27413F"/>
        </top>
        <bottom style="thin">
          <color rgb="FF9CC4C0"/>
        </bottom>
        <vertical/>
        <horizontal/>
      </border>
    </dxf>
    <dxf>
      <fill>
        <patternFill>
          <bgColor rgb="FFE6F0F0"/>
        </patternFill>
      </fill>
      <border>
        <left style="thin">
          <color rgb="FF27413F"/>
        </left>
        <right style="thin">
          <color rgb="FF9CC4C0"/>
        </right>
        <top style="thin">
          <color rgb="FF27413F"/>
        </top>
        <bottom style="thin">
          <color rgb="FF9CC4C0"/>
        </bottom>
        <vertical/>
        <horizontal/>
      </border>
    </dxf>
    <dxf>
      <fill>
        <patternFill>
          <bgColor rgb="FFE6F0F0"/>
        </patternFill>
      </fill>
      <border>
        <left style="thin">
          <color theme="0" tint="-0.499984740745262"/>
        </left>
        <right style="thin">
          <color rgb="FF9CC4C0"/>
        </right>
        <top style="thin">
          <color rgb="FF27413F"/>
        </top>
        <bottom style="thin">
          <color rgb="FF9CC4C0"/>
        </bottom>
        <vertical/>
        <horizontal/>
      </border>
    </dxf>
    <dxf>
      <fill>
        <patternFill>
          <bgColor rgb="FFE6F0F0"/>
        </patternFill>
      </fill>
      <border>
        <left style="thin">
          <color rgb="FF27413F"/>
        </left>
        <right style="thin">
          <color rgb="FF9CC4C0"/>
        </right>
        <top style="thin">
          <color rgb="FF27413F"/>
        </top>
        <bottom style="thin">
          <color rgb="FF9CC4C0"/>
        </bottom>
        <vertical/>
        <horizontal/>
      </border>
    </dxf>
    <dxf>
      <fill>
        <patternFill>
          <bgColor rgb="FFE6F0F0"/>
        </patternFill>
      </fill>
      <border>
        <left/>
        <right style="thin">
          <color theme="0" tint="-0.24994659260841701"/>
        </right>
        <top style="thin">
          <color rgb="FF27413F"/>
        </top>
        <bottom style="thin">
          <color rgb="FF9CC4C0"/>
        </bottom>
        <vertical/>
        <horizontal/>
      </border>
    </dxf>
    <dxf>
      <fill>
        <patternFill>
          <bgColor rgb="FFE6F0F0"/>
        </patternFill>
      </fill>
      <border>
        <left/>
        <right style="thin">
          <color theme="0" tint="-0.24994659260841701"/>
        </right>
        <top style="thin">
          <color rgb="FF27413F"/>
        </top>
        <bottom style="thin">
          <color rgb="FF9CC4C0"/>
        </bottom>
        <vertical/>
        <horizontal/>
      </border>
    </dxf>
    <dxf>
      <fill>
        <patternFill>
          <bgColor rgb="FFE6F0F0"/>
        </patternFill>
      </fill>
      <border>
        <left/>
        <right style="thin">
          <color theme="0" tint="-0.24994659260841701"/>
        </right>
        <top style="thin">
          <color rgb="FF27413F"/>
        </top>
        <bottom style="thin">
          <color rgb="FF9CC4C0"/>
        </bottom>
        <vertical/>
        <horizontal/>
      </border>
    </dxf>
    <dxf>
      <fill>
        <patternFill>
          <bgColor rgb="FFE6F0F0"/>
        </patternFill>
      </fill>
      <border>
        <left/>
        <right style="thin">
          <color theme="0" tint="-0.24994659260841701"/>
        </right>
        <top style="thin">
          <color rgb="FF27413F"/>
        </top>
        <bottom style="thin">
          <color rgb="FF9CC4C0"/>
        </bottom>
        <vertical/>
        <horizontal/>
      </border>
    </dxf>
    <dxf>
      <fill>
        <patternFill>
          <bgColor rgb="FFE6F0F0"/>
        </patternFill>
      </fill>
      <border>
        <left/>
        <right style="thin">
          <color theme="0" tint="-0.24994659260841701"/>
        </right>
        <top style="thin">
          <color rgb="FF27413F"/>
        </top>
        <bottom style="thin">
          <color rgb="FF9CC4C0"/>
        </bottom>
        <vertical/>
        <horizontal/>
      </border>
    </dxf>
    <dxf>
      <fill>
        <patternFill>
          <bgColor rgb="FFE6F0F0"/>
        </patternFill>
      </fill>
      <border>
        <left/>
        <right style="thin">
          <color theme="0" tint="-0.24994659260841701"/>
        </right>
        <top style="thin">
          <color rgb="FF27413F"/>
        </top>
        <bottom style="thin">
          <color rgb="FF9CC4C0"/>
        </bottom>
        <vertical/>
        <horizontal/>
      </border>
    </dxf>
    <dxf>
      <fill>
        <patternFill>
          <bgColor rgb="FFE6F0F0"/>
        </patternFill>
      </fill>
      <border>
        <left/>
        <right style="thin">
          <color theme="0" tint="-0.24994659260841701"/>
        </right>
        <top style="thin">
          <color rgb="FF27413F"/>
        </top>
        <bottom style="thin">
          <color rgb="FF9CC4C0"/>
        </bottom>
        <vertical/>
        <horizontal/>
      </border>
    </dxf>
    <dxf>
      <fill>
        <patternFill>
          <bgColor rgb="FFE6F0F0"/>
        </patternFill>
      </fill>
      <border>
        <left/>
        <right style="thin">
          <color theme="0" tint="-0.24994659260841701"/>
        </right>
        <top style="thin">
          <color rgb="FF27413F"/>
        </top>
        <bottom style="thin">
          <color rgb="FF9CC4C0"/>
        </bottom>
        <vertical/>
        <horizontal/>
      </border>
    </dxf>
    <dxf>
      <fill>
        <patternFill>
          <bgColor rgb="FFE6F0F0"/>
        </patternFill>
      </fill>
      <border>
        <left/>
        <right style="thin">
          <color theme="0" tint="-0.24994659260841701"/>
        </right>
        <top style="thin">
          <color rgb="FF27413F"/>
        </top>
        <bottom style="thin">
          <color rgb="FF9CC4C0"/>
        </bottom>
        <vertical/>
        <horizontal/>
      </border>
    </dxf>
    <dxf>
      <fill>
        <patternFill>
          <bgColor rgb="FFE6F0F0"/>
        </patternFill>
      </fill>
      <border>
        <left/>
        <right style="thin">
          <color theme="0" tint="-0.24994659260841701"/>
        </right>
        <top style="thin">
          <color rgb="FF27413F"/>
        </top>
        <bottom style="thin">
          <color rgb="FF9CC4C0"/>
        </bottom>
        <vertical/>
        <horizontal/>
      </border>
    </dxf>
    <dxf>
      <font>
        <b/>
        <i/>
        <color rgb="FFC00000"/>
      </font>
    </dxf>
    <dxf>
      <font>
        <b/>
        <i/>
        <color rgb="FFC00000"/>
      </font>
    </dxf>
  </dxfs>
  <tableStyles count="0" defaultTableStyle="TableStyleMedium2" defaultPivotStyle="PivotStyleLight16"/>
  <colors>
    <mruColors>
      <color rgb="FFE6F028"/>
      <color rgb="FF3D6864"/>
      <color rgb="FF15FFFF"/>
      <color rgb="FFD0EBB3"/>
      <color rgb="FF1108BE"/>
      <color rgb="FF9CC4C0"/>
      <color rgb="FF27413F"/>
      <color rgb="FFE6F0F0"/>
      <color rgb="FFE7F1F0"/>
      <color rgb="FFD3E5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R$48" fmlaRange="$S$49:$S$51" sel="1" val="0"/>
</file>

<file path=xl/ctrlProps/ctrlProp10.xml><?xml version="1.0" encoding="utf-8"?>
<formControlPr xmlns="http://schemas.microsoft.com/office/spreadsheetml/2009/9/main" objectType="GBox"/>
</file>

<file path=xl/ctrlProps/ctrlProp11.xml><?xml version="1.0" encoding="utf-8"?>
<formControlPr xmlns="http://schemas.microsoft.com/office/spreadsheetml/2009/9/main" objectType="GBox"/>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Radio" firstButton="1" fmlaLink="$T$88"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Radio" firstButton="1" fmlaLink="$T$92" lockText="1"/>
</file>

<file path=xl/ctrlProps/ctrlProp16.xml><?xml version="1.0" encoding="utf-8"?>
<formControlPr xmlns="http://schemas.microsoft.com/office/spreadsheetml/2009/9/main" objectType="Radio" checked="Checked" lockText="1"/>
</file>

<file path=xl/ctrlProps/ctrlProp17.xml><?xml version="1.0" encoding="utf-8"?>
<formControlPr xmlns="http://schemas.microsoft.com/office/spreadsheetml/2009/9/main" objectType="Radio" firstButton="1" fmlaLink="$T$102" lockText="1"/>
</file>

<file path=xl/ctrlProps/ctrlProp18.xml><?xml version="1.0" encoding="utf-8"?>
<formControlPr xmlns="http://schemas.microsoft.com/office/spreadsheetml/2009/9/main" objectType="Radio" checked="Checked" lockText="1"/>
</file>

<file path=xl/ctrlProps/ctrlProp19.xml><?xml version="1.0" encoding="utf-8"?>
<formControlPr xmlns="http://schemas.microsoft.com/office/spreadsheetml/2009/9/main" objectType="Radio" firstButton="1" fmlaLink="$T$108" lockText="1"/>
</file>

<file path=xl/ctrlProps/ctrlProp2.xml><?xml version="1.0" encoding="utf-8"?>
<formControlPr xmlns="http://schemas.microsoft.com/office/spreadsheetml/2009/9/main" objectType="Drop" dropStyle="combo" dx="16" fmlaLink="$R$52" fmlaRange="$S$53:$S$55" sel="1" val="0"/>
</file>

<file path=xl/ctrlProps/ctrlProp20.xml><?xml version="1.0" encoding="utf-8"?>
<formControlPr xmlns="http://schemas.microsoft.com/office/spreadsheetml/2009/9/main" objectType="Radio" firstButton="1" fmlaLink="$T$112" lockText="1"/>
</file>

<file path=xl/ctrlProps/ctrlProp21.xml><?xml version="1.0" encoding="utf-8"?>
<formControlPr xmlns="http://schemas.microsoft.com/office/spreadsheetml/2009/9/main" objectType="Radio" checked="Checked" lockText="1"/>
</file>

<file path=xl/ctrlProps/ctrlProp22.xml><?xml version="1.0" encoding="utf-8"?>
<formControlPr xmlns="http://schemas.microsoft.com/office/spreadsheetml/2009/9/main" objectType="Radio" firstButton="1" fmlaLink="$T$119" lockText="1"/>
</file>

<file path=xl/ctrlProps/ctrlProp23.xml><?xml version="1.0" encoding="utf-8"?>
<formControlPr xmlns="http://schemas.microsoft.com/office/spreadsheetml/2009/9/main" objectType="Radio" checked="Checked" lockText="1"/>
</file>

<file path=xl/ctrlProps/ctrlProp24.xml><?xml version="1.0" encoding="utf-8"?>
<formControlPr xmlns="http://schemas.microsoft.com/office/spreadsheetml/2009/9/main" objectType="Radio" firstButton="1" fmlaLink="$T$126" lockText="1"/>
</file>

<file path=xl/ctrlProps/ctrlProp25.xml><?xml version="1.0" encoding="utf-8"?>
<formControlPr xmlns="http://schemas.microsoft.com/office/spreadsheetml/2009/9/main" objectType="Radio" checked="Checked" lockText="1"/>
</file>

<file path=xl/ctrlProps/ctrlProp26.xml><?xml version="1.0" encoding="utf-8"?>
<formControlPr xmlns="http://schemas.microsoft.com/office/spreadsheetml/2009/9/main" objectType="Radio" firstButton="1" fmlaLink="$T$133" lockText="1"/>
</file>

<file path=xl/ctrlProps/ctrlProp27.xml><?xml version="1.0" encoding="utf-8"?>
<formControlPr xmlns="http://schemas.microsoft.com/office/spreadsheetml/2009/9/main" objectType="Radio" checked="Checked" lockText="1"/>
</file>

<file path=xl/ctrlProps/ctrlProp28.xml><?xml version="1.0" encoding="utf-8"?>
<formControlPr xmlns="http://schemas.microsoft.com/office/spreadsheetml/2009/9/main" objectType="Radio" firstButton="1" fmlaLink="$T$142" lockText="1"/>
</file>

<file path=xl/ctrlProps/ctrlProp29.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Drop" dropStyle="combo" dx="16" fmlaLink="$R$60" fmlaRange="$Q$61:$Q$72" sel="1" val="0"/>
</file>

<file path=xl/ctrlProps/ctrlProp30.xml><?xml version="1.0" encoding="utf-8"?>
<formControlPr xmlns="http://schemas.microsoft.com/office/spreadsheetml/2009/9/main" objectType="GBox"/>
</file>

<file path=xl/ctrlProps/ctrlProp31.xml><?xml version="1.0" encoding="utf-8"?>
<formControlPr xmlns="http://schemas.microsoft.com/office/spreadsheetml/2009/9/main" objectType="Radio" checked="Checked" firstButton="1" fmlaLink="$T$150"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Drop" dropStyle="combo" dx="16" fmlaLink="$V$5" fmlaRange="$W$6:$W$8" sel="1" val="0"/>
</file>

<file path=xl/ctrlProps/ctrlProp35.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GBox"/>
</file>

<file path=xl/ctrlProps/ctrlProp5.xml><?xml version="1.0" encoding="utf-8"?>
<formControlPr xmlns="http://schemas.microsoft.com/office/spreadsheetml/2009/9/main" objectType="GBox"/>
</file>

<file path=xl/ctrlProps/ctrlProp6.xml><?xml version="1.0" encoding="utf-8"?>
<formControlPr xmlns="http://schemas.microsoft.com/office/spreadsheetml/2009/9/main" objectType="GBox"/>
</file>

<file path=xl/ctrlProps/ctrlProp7.xml><?xml version="1.0" encoding="utf-8"?>
<formControlPr xmlns="http://schemas.microsoft.com/office/spreadsheetml/2009/9/main" objectType="GBox"/>
</file>

<file path=xl/ctrlProps/ctrlProp8.xml><?xml version="1.0" encoding="utf-8"?>
<formControlPr xmlns="http://schemas.microsoft.com/office/spreadsheetml/2009/9/main" objectType="GBox"/>
</file>

<file path=xl/ctrlProps/ctrlProp9.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3" Type="http://schemas.openxmlformats.org/officeDocument/2006/relationships/hyperlink" Target="http://ngbc.no/breeam-nor" TargetMode="External"/><Relationship Id="rId2" Type="http://schemas.openxmlformats.org/officeDocument/2006/relationships/image" Target="../media/image2.tiff"/><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hyperlink" Target="http://ngbc.no/" TargetMode="External"/><Relationship Id="rId4"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7</xdr:row>
          <xdr:rowOff>190500</xdr:rowOff>
        </xdr:from>
        <xdr:to>
          <xdr:col>10</xdr:col>
          <xdr:colOff>1085850</xdr:colOff>
          <xdr:row>8</xdr:row>
          <xdr:rowOff>247650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xdr:row>
          <xdr:rowOff>9525</xdr:rowOff>
        </xdr:from>
        <xdr:to>
          <xdr:col>10</xdr:col>
          <xdr:colOff>1085850</xdr:colOff>
          <xdr:row>12</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14</xdr:row>
          <xdr:rowOff>9525</xdr:rowOff>
        </xdr:from>
        <xdr:to>
          <xdr:col>10</xdr:col>
          <xdr:colOff>1085850</xdr:colOff>
          <xdr:row>15</xdr:row>
          <xdr:rowOff>66675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81</xdr:row>
          <xdr:rowOff>190500</xdr:rowOff>
        </xdr:from>
        <xdr:to>
          <xdr:col>13</xdr:col>
          <xdr:colOff>828675</xdr:colOff>
          <xdr:row>88</xdr:row>
          <xdr:rowOff>9525</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89</xdr:row>
          <xdr:rowOff>9525</xdr:rowOff>
        </xdr:from>
        <xdr:to>
          <xdr:col>13</xdr:col>
          <xdr:colOff>838200</xdr:colOff>
          <xdr:row>95</xdr:row>
          <xdr:rowOff>19050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96</xdr:row>
          <xdr:rowOff>0</xdr:rowOff>
        </xdr:from>
        <xdr:to>
          <xdr:col>13</xdr:col>
          <xdr:colOff>838200</xdr:colOff>
          <xdr:row>102</xdr:row>
          <xdr:rowOff>9525</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103</xdr:row>
          <xdr:rowOff>0</xdr:rowOff>
        </xdr:from>
        <xdr:to>
          <xdr:col>13</xdr:col>
          <xdr:colOff>828675</xdr:colOff>
          <xdr:row>109</xdr:row>
          <xdr:rowOff>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110</xdr:row>
          <xdr:rowOff>0</xdr:rowOff>
        </xdr:from>
        <xdr:to>
          <xdr:col>13</xdr:col>
          <xdr:colOff>828675</xdr:colOff>
          <xdr:row>116</xdr:row>
          <xdr:rowOff>9525</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117</xdr:row>
          <xdr:rowOff>0</xdr:rowOff>
        </xdr:from>
        <xdr:to>
          <xdr:col>13</xdr:col>
          <xdr:colOff>838200</xdr:colOff>
          <xdr:row>123</xdr:row>
          <xdr:rowOff>9525</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123</xdr:row>
          <xdr:rowOff>180975</xdr:rowOff>
        </xdr:from>
        <xdr:to>
          <xdr:col>13</xdr:col>
          <xdr:colOff>819150</xdr:colOff>
          <xdr:row>130</xdr:row>
          <xdr:rowOff>19050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130</xdr:row>
          <xdr:rowOff>190500</xdr:rowOff>
        </xdr:from>
        <xdr:to>
          <xdr:col>13</xdr:col>
          <xdr:colOff>819150</xdr:colOff>
          <xdr:row>137</xdr:row>
          <xdr:rowOff>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137</xdr:row>
          <xdr:rowOff>190500</xdr:rowOff>
        </xdr:from>
        <xdr:to>
          <xdr:col>13</xdr:col>
          <xdr:colOff>809625</xdr:colOff>
          <xdr:row>144</xdr:row>
          <xdr:rowOff>0</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84</xdr:row>
          <xdr:rowOff>28575</xdr:rowOff>
        </xdr:from>
        <xdr:to>
          <xdr:col>12</xdr:col>
          <xdr:colOff>704850</xdr:colOff>
          <xdr:row>85</xdr:row>
          <xdr:rowOff>152400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84</xdr:row>
          <xdr:rowOff>28575</xdr:rowOff>
        </xdr:from>
        <xdr:to>
          <xdr:col>13</xdr:col>
          <xdr:colOff>695325</xdr:colOff>
          <xdr:row>85</xdr:row>
          <xdr:rowOff>152400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91</xdr:row>
          <xdr:rowOff>28575</xdr:rowOff>
        </xdr:from>
        <xdr:to>
          <xdr:col>12</xdr:col>
          <xdr:colOff>704850</xdr:colOff>
          <xdr:row>92</xdr:row>
          <xdr:rowOff>152400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91</xdr:row>
          <xdr:rowOff>28575</xdr:rowOff>
        </xdr:from>
        <xdr:to>
          <xdr:col>13</xdr:col>
          <xdr:colOff>685800</xdr:colOff>
          <xdr:row>92</xdr:row>
          <xdr:rowOff>152400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98</xdr:row>
          <xdr:rowOff>28575</xdr:rowOff>
        </xdr:from>
        <xdr:to>
          <xdr:col>12</xdr:col>
          <xdr:colOff>704850</xdr:colOff>
          <xdr:row>99</xdr:row>
          <xdr:rowOff>142875</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98</xdr:row>
          <xdr:rowOff>38100</xdr:rowOff>
        </xdr:from>
        <xdr:to>
          <xdr:col>13</xdr:col>
          <xdr:colOff>685800</xdr:colOff>
          <xdr:row>99</xdr:row>
          <xdr:rowOff>152400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105</xdr:row>
          <xdr:rowOff>38100</xdr:rowOff>
        </xdr:from>
        <xdr:to>
          <xdr:col>12</xdr:col>
          <xdr:colOff>723900</xdr:colOff>
          <xdr:row>106</xdr:row>
          <xdr:rowOff>152400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112</xdr:row>
          <xdr:rowOff>38100</xdr:rowOff>
        </xdr:from>
        <xdr:to>
          <xdr:col>12</xdr:col>
          <xdr:colOff>704850</xdr:colOff>
          <xdr:row>113</xdr:row>
          <xdr:rowOff>152400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112</xdr:row>
          <xdr:rowOff>38100</xdr:rowOff>
        </xdr:from>
        <xdr:to>
          <xdr:col>13</xdr:col>
          <xdr:colOff>695325</xdr:colOff>
          <xdr:row>113</xdr:row>
          <xdr:rowOff>152400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118</xdr:row>
          <xdr:rowOff>142875</xdr:rowOff>
        </xdr:from>
        <xdr:to>
          <xdr:col>12</xdr:col>
          <xdr:colOff>657225</xdr:colOff>
          <xdr:row>120</xdr:row>
          <xdr:rowOff>57150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118</xdr:row>
          <xdr:rowOff>133350</xdr:rowOff>
        </xdr:from>
        <xdr:to>
          <xdr:col>13</xdr:col>
          <xdr:colOff>685800</xdr:colOff>
          <xdr:row>120</xdr:row>
          <xdr:rowOff>47625</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126</xdr:row>
          <xdr:rowOff>38100</xdr:rowOff>
        </xdr:from>
        <xdr:to>
          <xdr:col>12</xdr:col>
          <xdr:colOff>704850</xdr:colOff>
          <xdr:row>127</xdr:row>
          <xdr:rowOff>152400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126</xdr:row>
          <xdr:rowOff>28575</xdr:rowOff>
        </xdr:from>
        <xdr:to>
          <xdr:col>13</xdr:col>
          <xdr:colOff>685800</xdr:colOff>
          <xdr:row>127</xdr:row>
          <xdr:rowOff>142875</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133</xdr:row>
          <xdr:rowOff>28575</xdr:rowOff>
        </xdr:from>
        <xdr:to>
          <xdr:col>12</xdr:col>
          <xdr:colOff>704850</xdr:colOff>
          <xdr:row>134</xdr:row>
          <xdr:rowOff>142875</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133</xdr:row>
          <xdr:rowOff>28575</xdr:rowOff>
        </xdr:from>
        <xdr:to>
          <xdr:col>13</xdr:col>
          <xdr:colOff>685800</xdr:colOff>
          <xdr:row>134</xdr:row>
          <xdr:rowOff>142875</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140</xdr:row>
          <xdr:rowOff>28575</xdr:rowOff>
        </xdr:from>
        <xdr:to>
          <xdr:col>12</xdr:col>
          <xdr:colOff>704850</xdr:colOff>
          <xdr:row>141</xdr:row>
          <xdr:rowOff>152400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140</xdr:row>
          <xdr:rowOff>28575</xdr:rowOff>
        </xdr:from>
        <xdr:to>
          <xdr:col>13</xdr:col>
          <xdr:colOff>685800</xdr:colOff>
          <xdr:row>141</xdr:row>
          <xdr:rowOff>152400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144</xdr:row>
          <xdr:rowOff>200025</xdr:rowOff>
        </xdr:from>
        <xdr:to>
          <xdr:col>13</xdr:col>
          <xdr:colOff>809625</xdr:colOff>
          <xdr:row>151</xdr:row>
          <xdr:rowOff>28575</xdr:rowOff>
        </xdr:to>
        <xdr:sp macro="" textlink="">
          <xdr:nvSpPr>
            <xdr:cNvPr id="1101" name="Group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147</xdr:row>
          <xdr:rowOff>19050</xdr:rowOff>
        </xdr:from>
        <xdr:to>
          <xdr:col>12</xdr:col>
          <xdr:colOff>714375</xdr:colOff>
          <xdr:row>148</xdr:row>
          <xdr:rowOff>142875</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147</xdr:row>
          <xdr:rowOff>19050</xdr:rowOff>
        </xdr:from>
        <xdr:to>
          <xdr:col>13</xdr:col>
          <xdr:colOff>685800</xdr:colOff>
          <xdr:row>148</xdr:row>
          <xdr:rowOff>142875</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120</xdr:row>
          <xdr:rowOff>133350</xdr:rowOff>
        </xdr:from>
        <xdr:to>
          <xdr:col>12</xdr:col>
          <xdr:colOff>695325</xdr:colOff>
          <xdr:row>122</xdr:row>
          <xdr:rowOff>47625</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80</xdr:col>
      <xdr:colOff>104775</xdr:colOff>
      <xdr:row>195</xdr:row>
      <xdr:rowOff>85725</xdr:rowOff>
    </xdr:from>
    <xdr:to>
      <xdr:col>81</xdr:col>
      <xdr:colOff>314482</xdr:colOff>
      <xdr:row>200</xdr:row>
      <xdr:rowOff>65255</xdr:rowOff>
    </xdr:to>
    <xdr:pic>
      <xdr:nvPicPr>
        <xdr:cNvPr id="54" name="Bilde 53">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30900" y="27117675"/>
          <a:ext cx="885982" cy="94155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28575</xdr:colOff>
          <xdr:row>5</xdr:row>
          <xdr:rowOff>9525</xdr:rowOff>
        </xdr:from>
        <xdr:to>
          <xdr:col>10</xdr:col>
          <xdr:colOff>1076325</xdr:colOff>
          <xdr:row>6</xdr:row>
          <xdr:rowOff>9525</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16</xdr:col>
      <xdr:colOff>819150</xdr:colOff>
      <xdr:row>1</xdr:row>
      <xdr:rowOff>209550</xdr:rowOff>
    </xdr:from>
    <xdr:to>
      <xdr:col>17</xdr:col>
      <xdr:colOff>1114424</xdr:colOff>
      <xdr:row>2</xdr:row>
      <xdr:rowOff>90496</xdr:rowOff>
    </xdr:to>
    <xdr:pic>
      <xdr:nvPicPr>
        <xdr:cNvPr id="43" name="Bilde 42">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87625" y="400050"/>
          <a:ext cx="1190624" cy="119071"/>
        </a:xfrm>
        <a:prstGeom prst="rect">
          <a:avLst/>
        </a:prstGeom>
      </xdr:spPr>
    </xdr:pic>
    <xdr:clientData/>
  </xdr:twoCellAnchor>
  <xdr:twoCellAnchor editAs="oneCell">
    <xdr:from>
      <xdr:col>14</xdr:col>
      <xdr:colOff>133350</xdr:colOff>
      <xdr:row>7</xdr:row>
      <xdr:rowOff>137122</xdr:rowOff>
    </xdr:from>
    <xdr:to>
      <xdr:col>16</xdr:col>
      <xdr:colOff>646522</xdr:colOff>
      <xdr:row>9</xdr:row>
      <xdr:rowOff>116544</xdr:rowOff>
    </xdr:to>
    <xdr:pic>
      <xdr:nvPicPr>
        <xdr:cNvPr id="45" name="Bilde 44">
          <a:hlinkClick xmlns:r="http://schemas.openxmlformats.org/officeDocument/2006/relationships" r:id="rId3"/>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401550" y="1403947"/>
          <a:ext cx="2570572" cy="436622"/>
        </a:xfrm>
        <a:prstGeom prst="rect">
          <a:avLst/>
        </a:prstGeom>
      </xdr:spPr>
    </xdr:pic>
    <xdr:clientData/>
  </xdr:twoCellAnchor>
  <xdr:twoCellAnchor editAs="oneCell">
    <xdr:from>
      <xdr:col>17</xdr:col>
      <xdr:colOff>204089</xdr:colOff>
      <xdr:row>7</xdr:row>
      <xdr:rowOff>38100</xdr:rowOff>
    </xdr:from>
    <xdr:to>
      <xdr:col>17</xdr:col>
      <xdr:colOff>806379</xdr:colOff>
      <xdr:row>10</xdr:row>
      <xdr:rowOff>98088</xdr:rowOff>
    </xdr:to>
    <xdr:pic>
      <xdr:nvPicPr>
        <xdr:cNvPr id="46" name="Bilde 45">
          <a:hlinkClick xmlns:r="http://schemas.openxmlformats.org/officeDocument/2006/relationships" r:id="rId5"/>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425039" y="1304925"/>
          <a:ext cx="602290" cy="64101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247650</xdr:colOff>
          <xdr:row>105</xdr:row>
          <xdr:rowOff>38100</xdr:rowOff>
        </xdr:from>
        <xdr:to>
          <xdr:col>13</xdr:col>
          <xdr:colOff>657225</xdr:colOff>
          <xdr:row>106</xdr:row>
          <xdr:rowOff>152400</xdr:rowOff>
        </xdr:to>
        <xdr:sp macro="" textlink="">
          <xdr:nvSpPr>
            <xdr:cNvPr id="1230" name="Option Button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EG295"/>
  <sheetViews>
    <sheetView showRowColHeaders="0" tabSelected="1" topLeftCell="B1" zoomScaleNormal="100" workbookViewId="0">
      <selection activeCell="B296" sqref="B296"/>
    </sheetView>
  </sheetViews>
  <sheetFormatPr baseColWidth="10" defaultRowHeight="15"/>
  <cols>
    <col min="1" max="1" width="5" style="1" hidden="1" customWidth="1"/>
    <col min="2" max="2" width="7.5703125" customWidth="1"/>
    <col min="3" max="3" width="8.5703125" customWidth="1"/>
    <col min="4" max="4" width="17.5703125" customWidth="1"/>
    <col min="5" max="5" width="10.7109375" customWidth="1"/>
    <col min="6" max="6" width="14.5703125" customWidth="1"/>
    <col min="7" max="7" width="26.28515625" customWidth="1"/>
    <col min="8" max="8" width="3.5703125" customWidth="1"/>
    <col min="9" max="9" width="18.42578125" customWidth="1"/>
    <col min="10" max="10" width="17.28515625" customWidth="1"/>
    <col min="11" max="11" width="16.85546875" customWidth="1"/>
    <col min="12" max="12" width="17.42578125" customWidth="1"/>
    <col min="13" max="13" width="13.85546875" customWidth="1"/>
    <col min="14" max="14" width="15.42578125" customWidth="1"/>
    <col min="15" max="15" width="18.140625" customWidth="1"/>
    <col min="16" max="16" width="12.7109375" customWidth="1"/>
    <col min="17" max="17" width="13.42578125" customWidth="1"/>
    <col min="18" max="18" width="17.140625" customWidth="1"/>
    <col min="19" max="19" width="29.85546875" customWidth="1"/>
    <col min="20" max="20" width="14.28515625" style="3" hidden="1" customWidth="1"/>
    <col min="21" max="27" width="11.42578125" style="3" hidden="1" customWidth="1"/>
    <col min="28" max="28" width="8.42578125" style="3" hidden="1" customWidth="1"/>
    <col min="29" max="29" width="11.42578125" style="3" hidden="1" customWidth="1"/>
    <col min="30" max="30" width="13.28515625" style="3" hidden="1" customWidth="1"/>
    <col min="31" max="31" width="16.42578125" style="3" hidden="1" customWidth="1"/>
    <col min="32" max="33" width="7.7109375" style="3" hidden="1" customWidth="1"/>
    <col min="34" max="36" width="9.42578125" style="3" hidden="1" customWidth="1"/>
    <col min="37" max="37" width="9.140625" style="3" hidden="1" customWidth="1"/>
    <col min="38" max="38" width="2.85546875" style="3" hidden="1" customWidth="1"/>
    <col min="39" max="40" width="13.28515625" style="3" hidden="1" customWidth="1"/>
    <col min="41" max="41" width="4.85546875" style="3" hidden="1" customWidth="1"/>
    <col min="42" max="72" width="11.42578125" style="3" hidden="1" customWidth="1"/>
    <col min="73" max="73" width="8.140625" customWidth="1"/>
    <col min="76" max="76" width="14" customWidth="1"/>
    <col min="78" max="78" width="10" customWidth="1"/>
    <col min="79" max="79" width="11.28515625" customWidth="1"/>
    <col min="80" max="80" width="11.5703125" customWidth="1"/>
    <col min="81" max="81" width="10.140625" customWidth="1"/>
  </cols>
  <sheetData>
    <row r="1" spans="1:137" s="15" customFormat="1">
      <c r="A1" s="14"/>
      <c r="B1" s="47"/>
      <c r="C1" s="47"/>
      <c r="D1" s="47"/>
      <c r="E1" s="47"/>
      <c r="F1" s="47"/>
      <c r="G1" s="47"/>
      <c r="H1" s="47"/>
      <c r="I1" s="47"/>
      <c r="J1" s="47"/>
      <c r="K1" s="47"/>
      <c r="L1" s="44"/>
      <c r="M1" s="44"/>
      <c r="N1" s="44"/>
      <c r="O1" s="53"/>
      <c r="P1" s="44"/>
      <c r="Q1" s="44"/>
      <c r="R1" s="204" t="s">
        <v>129</v>
      </c>
      <c r="S1" s="44"/>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row>
    <row r="2" spans="1:137" s="15" customFormat="1" ht="18.75">
      <c r="A2" s="14"/>
      <c r="B2" s="48"/>
      <c r="C2" s="49" t="str">
        <f>IF(W49=TRUE,"Egendeklarasjon BREEAM-NOR",IF(R48=2,"Egendeklarasjon BREEAM-NOR – Sjekkliste A 20",IF(AND(V5=2,R48=3),"Egendeklarasjon BREEAM-NOR HEA 9 – Forurensning i innemiljø",IF(AND(V5=3,R48=3),"Egendeklarasjon BREEAM-NOR HEA 02 – Inneluftkvalitet","Egendeklarasjon BREEAM-NOR"))))</f>
        <v>Egendeklarasjon BREEAM-NOR</v>
      </c>
      <c r="D2" s="48"/>
      <c r="E2" s="48"/>
      <c r="F2" s="48"/>
      <c r="G2" s="48"/>
      <c r="H2" s="48"/>
      <c r="I2" s="48"/>
      <c r="J2" s="48"/>
      <c r="K2" s="48"/>
      <c r="L2" s="46"/>
      <c r="M2" s="44"/>
      <c r="N2" s="44"/>
      <c r="O2" s="53"/>
      <c r="P2" s="44"/>
      <c r="Q2" s="44"/>
      <c r="R2" s="205"/>
      <c r="S2" s="44"/>
      <c r="T2" s="20"/>
      <c r="U2" s="20"/>
      <c r="V2" s="20"/>
      <c r="W2" s="20"/>
      <c r="X2" s="20"/>
      <c r="Y2" s="20"/>
      <c r="Z2" s="20"/>
      <c r="AA2" s="52"/>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row>
    <row r="3" spans="1:137" s="15" customFormat="1" ht="10.5" customHeight="1">
      <c r="A3" s="14"/>
      <c r="B3" s="47"/>
      <c r="C3" s="47"/>
      <c r="D3" s="47"/>
      <c r="E3" s="47"/>
      <c r="F3" s="47"/>
      <c r="G3" s="47"/>
      <c r="H3" s="47"/>
      <c r="I3" s="47"/>
      <c r="J3" s="47"/>
      <c r="K3" s="47"/>
      <c r="L3" s="44"/>
      <c r="M3" s="44"/>
      <c r="N3" s="44"/>
      <c r="O3" s="44"/>
      <c r="P3" s="44"/>
      <c r="Q3" s="44"/>
      <c r="R3" s="44"/>
      <c r="S3" s="44"/>
      <c r="T3" s="20"/>
      <c r="U3" s="20"/>
      <c r="V3" s="20"/>
      <c r="W3" s="20"/>
      <c r="X3" s="20"/>
      <c r="Y3" s="20"/>
      <c r="Z3" s="20"/>
      <c r="AA3" s="35"/>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row>
    <row r="4" spans="1:137" ht="9.9499999999999993" customHeight="1">
      <c r="A4" s="14"/>
      <c r="B4" s="39"/>
      <c r="C4" s="44"/>
      <c r="D4" s="44"/>
      <c r="E4" s="44"/>
      <c r="F4" s="44"/>
      <c r="G4" s="44"/>
      <c r="H4" s="44"/>
      <c r="I4" s="44"/>
      <c r="J4" s="44"/>
      <c r="K4" s="44"/>
      <c r="L4" s="39"/>
      <c r="M4" s="44"/>
      <c r="N4" s="44"/>
      <c r="O4" s="44"/>
      <c r="P4" s="44"/>
      <c r="Q4" s="44"/>
      <c r="R4" s="44"/>
      <c r="S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row>
    <row r="5" spans="1:137" ht="15.75" thickBot="1">
      <c r="A5" s="14"/>
      <c r="B5" s="39"/>
      <c r="C5" s="51" t="s">
        <v>25</v>
      </c>
      <c r="D5" s="50"/>
      <c r="E5" s="44"/>
      <c r="F5" s="44"/>
      <c r="G5" s="44"/>
      <c r="H5" s="44"/>
      <c r="I5" s="51" t="s">
        <v>85</v>
      </c>
      <c r="J5" s="45"/>
      <c r="K5" s="45"/>
      <c r="L5" s="45"/>
      <c r="M5" s="45"/>
      <c r="N5" s="44"/>
      <c r="O5" s="44"/>
      <c r="P5" s="44"/>
      <c r="Q5" s="44"/>
      <c r="R5" s="44"/>
      <c r="S5" s="44"/>
      <c r="V5" s="12">
        <v>1</v>
      </c>
      <c r="W5" s="2"/>
      <c r="X5" s="38" t="s">
        <v>86</v>
      </c>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row>
    <row r="6" spans="1:137" ht="20.25" customHeight="1" thickBot="1">
      <c r="A6" s="14"/>
      <c r="B6" s="44"/>
      <c r="C6" s="158"/>
      <c r="D6" s="159"/>
      <c r="E6" s="159"/>
      <c r="F6" s="160"/>
      <c r="G6" s="44"/>
      <c r="H6" s="45"/>
      <c r="I6" s="45"/>
      <c r="J6" s="45"/>
      <c r="K6" s="45"/>
      <c r="L6" s="45"/>
      <c r="M6" s="45"/>
      <c r="N6" s="45"/>
      <c r="O6" s="226"/>
      <c r="P6" s="186"/>
      <c r="Q6" s="186"/>
      <c r="R6" s="227"/>
      <c r="S6" s="44"/>
      <c r="V6" s="2">
        <v>1</v>
      </c>
      <c r="W6" s="13" t="s">
        <v>0</v>
      </c>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row>
    <row r="7" spans="1:137" ht="9.9499999999999993" customHeight="1">
      <c r="A7" s="14"/>
      <c r="B7" s="44"/>
      <c r="C7" s="44"/>
      <c r="D7" s="54"/>
      <c r="E7" s="54"/>
      <c r="F7" s="54"/>
      <c r="G7" s="44"/>
      <c r="H7" s="45"/>
      <c r="I7" s="45"/>
      <c r="J7" s="45"/>
      <c r="K7" s="45"/>
      <c r="L7" s="45"/>
      <c r="M7" s="45"/>
      <c r="N7" s="45"/>
      <c r="O7" s="226"/>
      <c r="P7" s="186"/>
      <c r="Q7" s="186"/>
      <c r="R7" s="227"/>
      <c r="S7" s="44"/>
      <c r="V7" s="2">
        <v>2</v>
      </c>
      <c r="W7" s="2" t="s">
        <v>83</v>
      </c>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row>
    <row r="8" spans="1:137" ht="15.75" thickBot="1">
      <c r="A8" s="14"/>
      <c r="B8" s="44"/>
      <c r="C8" s="51" t="s">
        <v>14</v>
      </c>
      <c r="D8" s="44"/>
      <c r="E8" s="44"/>
      <c r="F8" s="44"/>
      <c r="G8" s="44"/>
      <c r="H8" s="45"/>
      <c r="I8" s="51" t="s">
        <v>46</v>
      </c>
      <c r="J8" s="45"/>
      <c r="K8" s="45"/>
      <c r="L8" s="45"/>
      <c r="M8" s="45"/>
      <c r="N8" s="45"/>
      <c r="O8" s="226"/>
      <c r="P8" s="186"/>
      <c r="Q8" s="186"/>
      <c r="R8" s="227"/>
      <c r="S8" s="44"/>
      <c r="V8" s="2">
        <v>3</v>
      </c>
      <c r="W8" s="2" t="s">
        <v>84</v>
      </c>
      <c r="AD8" s="3" t="s">
        <v>87</v>
      </c>
      <c r="AE8" s="3">
        <v>2012</v>
      </c>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row>
    <row r="9" spans="1:137" ht="20.25" customHeight="1" thickBot="1">
      <c r="A9" s="14"/>
      <c r="B9" s="44"/>
      <c r="C9" s="158"/>
      <c r="D9" s="159"/>
      <c r="E9" s="159"/>
      <c r="F9" s="160"/>
      <c r="G9" s="44"/>
      <c r="H9" s="45"/>
      <c r="I9" s="45"/>
      <c r="J9" s="45"/>
      <c r="K9" s="45"/>
      <c r="L9" s="45"/>
      <c r="M9" s="45"/>
      <c r="N9" s="45"/>
      <c r="O9" s="226"/>
      <c r="P9" s="186"/>
      <c r="Q9" s="186"/>
      <c r="R9" s="227"/>
      <c r="S9" s="44"/>
      <c r="AD9" s="3" t="s">
        <v>88</v>
      </c>
      <c r="AQ9" s="38"/>
      <c r="AR9" s="38"/>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row>
    <row r="10" spans="1:137" ht="9.9499999999999993" customHeight="1">
      <c r="A10" s="14"/>
      <c r="B10" s="44"/>
      <c r="C10" s="44"/>
      <c r="D10" s="44"/>
      <c r="E10" s="44"/>
      <c r="F10" s="44"/>
      <c r="G10" s="44"/>
      <c r="H10" s="45"/>
      <c r="I10" s="45"/>
      <c r="J10" s="45"/>
      <c r="K10" s="45"/>
      <c r="L10" s="45"/>
      <c r="M10" s="45"/>
      <c r="N10" s="45"/>
      <c r="O10" s="226"/>
      <c r="P10" s="186"/>
      <c r="Q10" s="186"/>
      <c r="R10" s="227"/>
      <c r="S10" s="44"/>
      <c r="AQ10" s="38"/>
      <c r="AR10" s="38"/>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row>
    <row r="11" spans="1:137" ht="15" customHeight="1" thickBot="1">
      <c r="A11" s="14"/>
      <c r="B11" s="44"/>
      <c r="C11" s="51" t="s">
        <v>15</v>
      </c>
      <c r="D11" s="44"/>
      <c r="E11" s="44"/>
      <c r="F11" s="44"/>
      <c r="G11" s="44"/>
      <c r="H11" s="45"/>
      <c r="I11" s="51" t="s">
        <v>17</v>
      </c>
      <c r="J11" s="45"/>
      <c r="K11" s="45"/>
      <c r="L11" s="45"/>
      <c r="M11" s="45"/>
      <c r="N11" s="45"/>
      <c r="O11" s="226"/>
      <c r="P11" s="186"/>
      <c r="Q11" s="186"/>
      <c r="R11" s="227"/>
      <c r="S11" s="44"/>
      <c r="X11" s="3" t="b">
        <f>IF(W6="- Velg -",TRUE,FALSE)</f>
        <v>1</v>
      </c>
      <c r="AQ11" s="38"/>
      <c r="AR11" s="38"/>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row>
    <row r="12" spans="1:137" ht="20.25" customHeight="1" thickBot="1">
      <c r="A12" s="14"/>
      <c r="B12" s="44"/>
      <c r="C12" s="158"/>
      <c r="D12" s="159"/>
      <c r="E12" s="159"/>
      <c r="F12" s="160"/>
      <c r="G12" s="44"/>
      <c r="H12" s="45"/>
      <c r="I12" s="45"/>
      <c r="J12" s="45"/>
      <c r="K12" s="45"/>
      <c r="L12" s="45"/>
      <c r="M12" s="45"/>
      <c r="N12" s="45"/>
      <c r="O12" s="226"/>
      <c r="P12" s="186"/>
      <c r="Q12" s="186"/>
      <c r="R12" s="227"/>
      <c r="S12" s="44"/>
      <c r="AQ12" s="38"/>
      <c r="AR12" s="38"/>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row>
    <row r="13" spans="1:137" ht="9.9499999999999993" customHeight="1" thickBot="1">
      <c r="A13" s="14"/>
      <c r="B13" s="44"/>
      <c r="C13" s="44"/>
      <c r="D13" s="44"/>
      <c r="E13" s="44"/>
      <c r="F13" s="44"/>
      <c r="G13" s="44"/>
      <c r="H13" s="45"/>
      <c r="I13" s="45"/>
      <c r="J13" s="45"/>
      <c r="K13" s="45"/>
      <c r="L13" s="45"/>
      <c r="M13" s="45"/>
      <c r="N13" s="45"/>
      <c r="O13" s="228"/>
      <c r="P13" s="229"/>
      <c r="Q13" s="229"/>
      <c r="R13" s="230"/>
      <c r="S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row>
    <row r="14" spans="1:137" ht="15" customHeight="1">
      <c r="A14" s="14"/>
      <c r="B14" s="44"/>
      <c r="C14" s="223" t="str">
        <f>IF(V5=1,"",IF(AND(V5=2,R48=3),AB49,IF(AND(V5=3,R48=3),AB49,IF(AND(V5=3,R48=2),AB55,IF(AND(V5=2,R48=2),AB55,"")))))</f>
        <v/>
      </c>
      <c r="D14" s="223"/>
      <c r="E14" s="223"/>
      <c r="F14" s="223"/>
      <c r="G14" s="223"/>
      <c r="H14" s="45"/>
      <c r="I14" s="51" t="s">
        <v>10</v>
      </c>
      <c r="J14" s="45"/>
      <c r="K14" s="45"/>
      <c r="L14" s="45"/>
      <c r="M14" s="45"/>
      <c r="N14" s="45"/>
      <c r="O14" s="126"/>
      <c r="P14" s="126"/>
      <c r="Q14" s="126"/>
      <c r="R14" s="126"/>
      <c r="S14" s="44"/>
      <c r="U14" s="40" t="s">
        <v>89</v>
      </c>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row>
    <row r="15" spans="1:137" ht="15" customHeight="1">
      <c r="A15" s="14"/>
      <c r="B15" s="44"/>
      <c r="C15" s="223"/>
      <c r="D15" s="223"/>
      <c r="E15" s="223"/>
      <c r="F15" s="223"/>
      <c r="G15" s="223"/>
      <c r="H15" s="56"/>
      <c r="I15" s="56"/>
      <c r="J15" s="56"/>
      <c r="K15" s="56"/>
      <c r="L15" s="56"/>
      <c r="M15" s="123"/>
      <c r="N15" s="123"/>
      <c r="O15" s="127"/>
      <c r="P15" s="127"/>
      <c r="Q15" s="127"/>
      <c r="R15" s="127"/>
      <c r="S15" s="44"/>
      <c r="U15" s="3" t="s">
        <v>91</v>
      </c>
      <c r="AC15" s="3" t="s">
        <v>95</v>
      </c>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row>
    <row r="16" spans="1:137" ht="9.9499999999999993" customHeight="1">
      <c r="A16" s="14"/>
      <c r="B16" s="44"/>
      <c r="C16" s="223"/>
      <c r="D16" s="223"/>
      <c r="E16" s="223"/>
      <c r="F16" s="223"/>
      <c r="G16" s="223"/>
      <c r="H16" s="56"/>
      <c r="I16" s="58"/>
      <c r="J16" s="58"/>
      <c r="K16" s="58"/>
      <c r="L16" s="58"/>
      <c r="M16" s="123"/>
      <c r="N16" s="123"/>
      <c r="O16" s="127"/>
      <c r="P16" s="127"/>
      <c r="Q16" s="127"/>
      <c r="R16" s="127"/>
      <c r="S16" s="44"/>
      <c r="AC16" s="3" t="s">
        <v>103</v>
      </c>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row>
    <row r="17" spans="1:137" ht="5.25" customHeight="1">
      <c r="A17" s="14"/>
      <c r="B17" s="44"/>
      <c r="C17" s="223"/>
      <c r="D17" s="223"/>
      <c r="E17" s="223"/>
      <c r="F17" s="223"/>
      <c r="G17" s="223"/>
      <c r="H17" s="56"/>
      <c r="I17" s="58"/>
      <c r="J17" s="58"/>
      <c r="K17" s="58"/>
      <c r="L17" s="58"/>
      <c r="M17" s="123"/>
      <c r="N17" s="123"/>
      <c r="O17" s="127"/>
      <c r="P17" s="127"/>
      <c r="Q17" s="127"/>
      <c r="R17" s="127"/>
      <c r="S17" s="44"/>
      <c r="U17" s="3" t="s">
        <v>90</v>
      </c>
      <c r="AQ17" s="38"/>
      <c r="AR17" s="38"/>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row>
    <row r="18" spans="1:137">
      <c r="A18" s="14"/>
      <c r="B18" s="44"/>
      <c r="C18" s="223"/>
      <c r="D18" s="223"/>
      <c r="E18" s="223"/>
      <c r="F18" s="223"/>
      <c r="G18" s="223"/>
      <c r="H18" s="56"/>
      <c r="I18" s="51" t="str">
        <f>IF(S59=TRUE,"Gjelder følgende produkter:",IF(X59=TRUE,"Gjelder følgende produkter:",IF(T59=TRUE,"Gjelder følgende produkt:",IF(U59=TRUE,"Gjelder følgende produkter:",IF(V59=TRUE,"Gjelder følgende produkter:",IF(AA59=TRUE,"Gjelder følgende produkter:",IF(AB59=TRUE,"Gjelder følgende produkter:",IF(AD59=TRUE,"Gjelder følgende produkter:",IF(AC59=TRUE,"Gjelder følgende produkter:",IF(AE59=TRUE,"Gjelder følgende produkter:",IF(AF59=TRUE,"Gjelder følgende produkter:","")))))))))))</f>
        <v/>
      </c>
      <c r="J18" s="58"/>
      <c r="K18" s="58"/>
      <c r="L18" s="58"/>
      <c r="M18" s="123"/>
      <c r="N18" s="123"/>
      <c r="O18" s="127"/>
      <c r="P18" s="127"/>
      <c r="Q18" s="127"/>
      <c r="R18" s="127"/>
      <c r="S18" s="44"/>
      <c r="U18" s="3" t="s">
        <v>92</v>
      </c>
      <c r="AB18" s="3">
        <f>LEN(AC18)</f>
        <v>0</v>
      </c>
      <c r="AC18" s="8"/>
      <c r="AQ18" s="38"/>
      <c r="AR18" s="38"/>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row>
    <row r="19" spans="1:137" ht="15" customHeight="1">
      <c r="A19" s="14"/>
      <c r="B19" s="44"/>
      <c r="C19" s="223"/>
      <c r="D19" s="223"/>
      <c r="E19" s="223"/>
      <c r="F19" s="223"/>
      <c r="G19" s="223"/>
      <c r="H19" s="56"/>
      <c r="I19" s="240" t="str">
        <f>W36</f>
        <v/>
      </c>
      <c r="J19" s="240"/>
      <c r="K19" s="240"/>
      <c r="L19" s="240"/>
      <c r="M19" s="124"/>
      <c r="N19" s="124"/>
      <c r="O19" s="127"/>
      <c r="P19" s="127"/>
      <c r="Q19" s="127"/>
      <c r="R19" s="127"/>
      <c r="S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row>
    <row r="20" spans="1:137" ht="9" customHeight="1">
      <c r="A20" s="14"/>
      <c r="B20" s="44"/>
      <c r="C20" s="223"/>
      <c r="D20" s="223"/>
      <c r="E20" s="223"/>
      <c r="F20" s="223"/>
      <c r="G20" s="223"/>
      <c r="H20" s="56"/>
      <c r="I20" s="240"/>
      <c r="J20" s="240"/>
      <c r="K20" s="240"/>
      <c r="L20" s="240"/>
      <c r="M20" s="124"/>
      <c r="N20" s="124"/>
      <c r="O20" s="127"/>
      <c r="P20" s="127"/>
      <c r="Q20" s="127"/>
      <c r="R20" s="127"/>
      <c r="S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row>
    <row r="21" spans="1:137" ht="9.9499999999999993" customHeight="1">
      <c r="A21" s="14"/>
      <c r="B21" s="44"/>
      <c r="C21" s="223"/>
      <c r="D21" s="223"/>
      <c r="E21" s="223"/>
      <c r="F21" s="223"/>
      <c r="G21" s="223"/>
      <c r="H21" s="56"/>
      <c r="I21" s="240"/>
      <c r="J21" s="240"/>
      <c r="K21" s="240"/>
      <c r="L21" s="240"/>
      <c r="M21" s="124"/>
      <c r="N21" s="124"/>
      <c r="O21" s="127"/>
      <c r="P21" s="127"/>
      <c r="Q21" s="127"/>
      <c r="R21" s="127"/>
      <c r="S21" s="44"/>
      <c r="U21" s="3" t="s">
        <v>93</v>
      </c>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row>
    <row r="22" spans="1:137">
      <c r="A22" s="14"/>
      <c r="B22" s="44"/>
      <c r="C22" s="223"/>
      <c r="D22" s="223"/>
      <c r="E22" s="223"/>
      <c r="F22" s="223"/>
      <c r="G22" s="223"/>
      <c r="H22" s="56"/>
      <c r="I22" s="240"/>
      <c r="J22" s="240"/>
      <c r="K22" s="240"/>
      <c r="L22" s="240"/>
      <c r="M22" s="124"/>
      <c r="N22" s="124"/>
      <c r="O22" s="127"/>
      <c r="P22" s="127"/>
      <c r="Q22" s="127"/>
      <c r="R22" s="127"/>
      <c r="S22" s="44"/>
      <c r="U22" s="3" t="s">
        <v>94</v>
      </c>
      <c r="Y22" s="8"/>
      <c r="AC22" s="8"/>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row>
    <row r="23" spans="1:137">
      <c r="A23" s="14"/>
      <c r="B23" s="44"/>
      <c r="C23" s="223"/>
      <c r="D23" s="223"/>
      <c r="E23" s="223"/>
      <c r="F23" s="223"/>
      <c r="G23" s="223"/>
      <c r="H23" s="56"/>
      <c r="I23" s="240"/>
      <c r="J23" s="240"/>
      <c r="K23" s="240"/>
      <c r="L23" s="240"/>
      <c r="M23" s="124"/>
      <c r="N23" s="124"/>
      <c r="O23" s="127"/>
      <c r="P23" s="127"/>
      <c r="Q23" s="127"/>
      <c r="R23" s="127"/>
      <c r="S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row>
    <row r="24" spans="1:137" s="1" customFormat="1" ht="12.75" hidden="1" customHeight="1">
      <c r="A24" s="35"/>
      <c r="B24" s="35"/>
      <c r="C24" s="223"/>
      <c r="D24" s="223"/>
      <c r="E24" s="223"/>
      <c r="F24" s="223"/>
      <c r="G24" s="223"/>
      <c r="H24" s="35"/>
      <c r="I24" s="35"/>
      <c r="J24" s="35"/>
      <c r="K24" s="35"/>
      <c r="L24" s="35"/>
      <c r="M24" s="35"/>
      <c r="N24" s="35"/>
      <c r="O24" s="35"/>
      <c r="P24" s="35"/>
      <c r="Q24" s="35"/>
      <c r="R24" s="35"/>
      <c r="S24" s="35"/>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row>
    <row r="25" spans="1:137" s="1" customFormat="1" ht="9.9499999999999993" hidden="1" customHeight="1">
      <c r="A25" s="35"/>
      <c r="B25" s="35"/>
      <c r="C25" s="223"/>
      <c r="D25" s="223"/>
      <c r="E25" s="223"/>
      <c r="F25" s="223"/>
      <c r="G25" s="223"/>
      <c r="H25" s="35"/>
      <c r="I25" s="35"/>
      <c r="J25" s="35"/>
      <c r="K25" s="35"/>
      <c r="L25" s="35"/>
      <c r="M25" s="35"/>
      <c r="N25" s="35"/>
      <c r="O25" s="35"/>
      <c r="P25" s="35"/>
      <c r="Q25" s="35"/>
      <c r="R25" s="35"/>
      <c r="S25" s="35"/>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row>
    <row r="26" spans="1:137" s="1" customFormat="1" hidden="1">
      <c r="A26" s="35"/>
      <c r="B26" s="35"/>
      <c r="C26" s="114"/>
      <c r="D26" s="114"/>
      <c r="E26" s="114"/>
      <c r="F26" s="114"/>
      <c r="G26" s="114"/>
      <c r="H26" s="117"/>
      <c r="I26" s="115"/>
      <c r="J26" s="118"/>
      <c r="K26" s="118"/>
      <c r="L26" s="118"/>
      <c r="M26" s="128"/>
      <c r="N26" s="128"/>
      <c r="O26" s="129"/>
      <c r="P26" s="129"/>
      <c r="Q26" s="129"/>
      <c r="R26" s="129"/>
      <c r="S26" s="35"/>
      <c r="T26" s="3"/>
      <c r="U26" s="3"/>
      <c r="V26" s="3"/>
      <c r="W26" s="3"/>
      <c r="X26" s="3"/>
      <c r="Y26" s="3"/>
      <c r="Z26" s="3"/>
      <c r="AA26" s="3"/>
      <c r="AB26" s="8" t="s">
        <v>113</v>
      </c>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row>
    <row r="27" spans="1:137" s="1" customFormat="1" ht="15" hidden="1" customHeight="1">
      <c r="A27" s="35"/>
      <c r="B27" s="35"/>
      <c r="C27" s="35"/>
      <c r="D27" s="35"/>
      <c r="E27" s="35"/>
      <c r="F27" s="35"/>
      <c r="G27" s="35"/>
      <c r="H27" s="117"/>
      <c r="I27" s="125"/>
      <c r="J27" s="125"/>
      <c r="K27" s="125"/>
      <c r="L27" s="125"/>
      <c r="M27" s="125"/>
      <c r="N27" s="125"/>
      <c r="O27" s="125"/>
      <c r="P27" s="125"/>
      <c r="Q27" s="125"/>
      <c r="R27" s="125"/>
      <c r="S27" s="35"/>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row>
    <row r="28" spans="1:137" s="1" customFormat="1" ht="15" hidden="1" customHeight="1">
      <c r="A28" s="35"/>
      <c r="B28" s="35"/>
      <c r="C28" s="35"/>
      <c r="D28" s="35"/>
      <c r="E28" s="35"/>
      <c r="F28" s="35"/>
      <c r="G28" s="35"/>
      <c r="H28" s="117"/>
      <c r="I28" s="125"/>
      <c r="J28" s="125"/>
      <c r="K28" s="125"/>
      <c r="L28" s="125"/>
      <c r="M28" s="125"/>
      <c r="N28" s="125"/>
      <c r="O28" s="125"/>
      <c r="P28" s="125"/>
      <c r="Q28" s="125"/>
      <c r="R28" s="125"/>
      <c r="S28" s="35"/>
      <c r="T28" s="3"/>
      <c r="U28" s="3"/>
      <c r="V28" s="3"/>
      <c r="W28" s="3"/>
      <c r="X28" s="3"/>
      <c r="Y28" s="3"/>
      <c r="Z28" s="120"/>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row>
    <row r="29" spans="1:137" s="1" customFormat="1" ht="15" hidden="1" customHeight="1">
      <c r="A29" s="35"/>
      <c r="B29" s="35"/>
      <c r="C29" s="115"/>
      <c r="D29" s="116"/>
      <c r="E29" s="35"/>
      <c r="F29" s="35"/>
      <c r="G29" s="35"/>
      <c r="H29" s="117"/>
      <c r="I29" s="154"/>
      <c r="J29" s="118"/>
      <c r="K29" s="118"/>
      <c r="L29" s="118"/>
      <c r="M29" s="118"/>
      <c r="N29" s="118"/>
      <c r="O29" s="118"/>
      <c r="P29" s="118"/>
      <c r="Q29" s="118"/>
      <c r="R29" s="118"/>
      <c r="S29" s="35"/>
      <c r="T29" s="3"/>
      <c r="U29" s="3"/>
      <c r="V29" s="3"/>
      <c r="W29" s="3" t="b">
        <f>IF(I19="",FALSE,TRUE)</f>
        <v>0</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row>
    <row r="30" spans="1:137" s="1" customFormat="1" ht="15" hidden="1" customHeight="1">
      <c r="A30" s="35"/>
      <c r="B30" s="35"/>
      <c r="C30" s="113"/>
      <c r="D30" s="113"/>
      <c r="E30" s="113"/>
      <c r="F30" s="113"/>
      <c r="G30" s="113"/>
      <c r="H30" s="113"/>
      <c r="I30" s="113"/>
      <c r="J30" s="113"/>
      <c r="K30" s="113"/>
      <c r="L30" s="113"/>
      <c r="M30" s="35"/>
      <c r="N30" s="35"/>
      <c r="O30" s="35"/>
      <c r="P30" s="35"/>
      <c r="Q30" s="35"/>
      <c r="R30" s="35"/>
      <c r="S30" s="35"/>
      <c r="T30" s="3"/>
      <c r="U30" s="3"/>
      <c r="V30" s="3"/>
      <c r="W30" s="151" t="str">
        <f>IF($S$59=TRUE,"Sponplater, ",IF(T59=TRUE,"Limtre.",IF(U59=TRUE,"Vinyl/linoleum, ",IF(V59=TRUE,"Ferdige tapeter, ",IF(X59=TRUE,"Vinyl-/våtromstapet, ",IF(Z59=TRUE,"Herunder sponplater, fiberplater, herunder MDF, OSB, sementbundne sponplater, ",IF(AA59=TRUE,"Trekonstruksjoner ifølge EN 14080:2013 Trekonstruksjoner - Limtre og limt laminert heltre - Krav",IF(AB59=TRUE,"Slitesterke tekstil- og laminatgulvbelegg (f.eks. vinyl-, linoleum-, kork-, gummi-, teppe-,",IF(AD59=TRUE,"Nedsenkede himlingsplater ifølge EN 13964:2014 (Nedsenkede himlinger - Krav og prøvingsmetoder)",IF(AC59=TRUE,"Fugemasser som elastiske eller plastiske fugemasser basert på polyuretan, silikon, MS-polymer, akryl eller lignende.",IF(AE59=TRUE,"Veggkledninger ifølge NS-EN 15102:2007 (Dekorative veggkledninger - Produkter på rull og i plateform)",IF(AF59=TRUE,"Gulvprodukter ifølge NS-EN 13813 (Støpte gulvbelegg eller avrettingslag. Gulvmasser. Egenskaper og krav).",""))))))))))))</f>
        <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row>
    <row r="31" spans="1:137" s="1" customFormat="1" ht="15" hidden="1" customHeight="1">
      <c r="A31" s="35"/>
      <c r="B31" s="35"/>
      <c r="C31" s="113"/>
      <c r="D31" s="113"/>
      <c r="E31" s="113"/>
      <c r="F31" s="113"/>
      <c r="G31" s="113"/>
      <c r="H31" s="113"/>
      <c r="I31" s="113"/>
      <c r="J31" s="113"/>
      <c r="K31" s="113"/>
      <c r="L31" s="113"/>
      <c r="M31" s="35"/>
      <c r="N31" s="35"/>
      <c r="O31" s="35"/>
      <c r="P31" s="35"/>
      <c r="Q31" s="35"/>
      <c r="R31" s="35"/>
      <c r="S31" s="35"/>
      <c r="T31" s="3"/>
      <c r="U31" s="3"/>
      <c r="V31" s="3"/>
      <c r="W31" s="151" t="str">
        <f>IF($S$59=TRUE,"fiberplater (også MDF), ",IF(U59=TRUE,"kork og gummi, ",IF(V59=TRUE,"tapet som skal dekoreres, ",IF(X59=TRUE,"glassfiberstrie",IF(Z59=TRUE,"kryssfiner, heltreplater og akustikkplater ifølge EN 13986:2004 (Trebaserte plater til bruk i bygg og anlegg - Egenskaper, evaluering av samsvar og merking)",IF(AB59=TRUE," laminatgulv) ifølge EN 14041:2004 (Halvharde gulvbelegg, tekstile gulvbelegg og laminatgulv. Grunnleggende krav)",""))))))</f>
        <v/>
      </c>
      <c r="X31" s="3"/>
      <c r="Y31" s="3"/>
      <c r="Z31" s="3"/>
      <c r="AA31" s="3"/>
      <c r="AB31" s="3"/>
      <c r="AC31" s="3"/>
      <c r="AD31" s="3"/>
      <c r="AE31" s="3"/>
      <c r="AF31" s="3"/>
      <c r="AG31" s="3"/>
      <c r="AH31" s="3"/>
      <c r="AI31" s="3"/>
      <c r="AJ31" s="3" t="s">
        <v>99</v>
      </c>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row>
    <row r="32" spans="1:137" s="1" customFormat="1" ht="15" hidden="1" customHeight="1">
      <c r="A32" s="35"/>
      <c r="B32" s="35"/>
      <c r="C32" s="35"/>
      <c r="D32" s="116"/>
      <c r="E32" s="35"/>
      <c r="F32" s="35"/>
      <c r="G32" s="35"/>
      <c r="H32" s="35"/>
      <c r="I32" s="35"/>
      <c r="J32" s="35"/>
      <c r="K32" s="35"/>
      <c r="L32" s="35"/>
      <c r="M32" s="35"/>
      <c r="N32" s="35"/>
      <c r="O32" s="35"/>
      <c r="P32" s="35"/>
      <c r="Q32" s="35"/>
      <c r="R32" s="35"/>
      <c r="S32" s="35"/>
      <c r="T32" s="3"/>
      <c r="U32" s="3"/>
      <c r="V32" s="3"/>
      <c r="W32" s="151" t="str">
        <f>IF($S$59=TRUE,"OSB, ",IF(U59=TRUE,"teppe ",IF(V59=TRUE,"tekstile veggkledninger, ","")))</f>
        <v/>
      </c>
      <c r="X32" s="3"/>
      <c r="Y32" s="3"/>
      <c r="Z32" s="3"/>
      <c r="AA32" s="3"/>
      <c r="AB32" s="3"/>
      <c r="AC32" s="3" t="s">
        <v>105</v>
      </c>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row>
    <row r="33" spans="1:137" s="1" customFormat="1" ht="15" hidden="1" customHeight="1">
      <c r="A33" s="35"/>
      <c r="B33" s="35"/>
      <c r="C33" s="35"/>
      <c r="D33" s="121"/>
      <c r="E33" s="35"/>
      <c r="F33" s="35"/>
      <c r="G33" s="35"/>
      <c r="H33" s="35"/>
      <c r="I33" s="35"/>
      <c r="J33" s="35"/>
      <c r="K33" s="35"/>
      <c r="L33" s="35"/>
      <c r="M33" s="35"/>
      <c r="N33" s="35"/>
      <c r="O33" s="35"/>
      <c r="P33" s="35"/>
      <c r="Q33" s="35"/>
      <c r="R33" s="35"/>
      <c r="S33" s="35"/>
      <c r="T33" s="3"/>
      <c r="U33" s="3"/>
      <c r="V33" s="3"/>
      <c r="W33" s="151" t="str">
        <f>IF($S$59=TRUE,"sementbundne sponplater, ",IF(U59=TRUE,"og laminatgulv.",IF(V59=TRUE,"veggkledninger for hard belastning ","")))</f>
        <v/>
      </c>
      <c r="X33" s="3"/>
      <c r="Y33" s="3"/>
      <c r="Z33" s="3"/>
      <c r="AA33" s="3"/>
      <c r="AB33" s="3"/>
      <c r="AC33" s="3" t="s">
        <v>104</v>
      </c>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row>
    <row r="34" spans="1:137" s="1" customFormat="1" ht="15" hidden="1" customHeight="1">
      <c r="A34" s="35"/>
      <c r="B34" s="35"/>
      <c r="C34" s="35"/>
      <c r="D34" s="116"/>
      <c r="E34" s="35"/>
      <c r="F34" s="35"/>
      <c r="G34" s="35"/>
      <c r="H34" s="35"/>
      <c r="I34" s="35"/>
      <c r="J34" s="35"/>
      <c r="K34" s="35"/>
      <c r="L34" s="35"/>
      <c r="M34" s="35"/>
      <c r="N34" s="35"/>
      <c r="O34" s="35"/>
      <c r="P34" s="35"/>
      <c r="Q34" s="35"/>
      <c r="R34" s="35"/>
      <c r="S34" s="35"/>
      <c r="T34" s="3"/>
      <c r="U34" s="3"/>
      <c r="V34" s="3"/>
      <c r="W34" s="151" t="str">
        <f>IF($S$59=TRUE,"kryssfinér, ",IF(V59=TRUE,"og veggkledninger i vinyl og plast.",""))</f>
        <v/>
      </c>
      <c r="X34" s="3"/>
      <c r="Y34" s="3"/>
      <c r="Z34" s="3"/>
      <c r="AA34" s="3"/>
      <c r="AB34" s="3"/>
      <c r="AC34" s="3" t="s">
        <v>106</v>
      </c>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row>
    <row r="35" spans="1:137" s="1" customFormat="1" ht="15" hidden="1" customHeight="1">
      <c r="A35" s="35"/>
      <c r="B35" s="35"/>
      <c r="C35" s="35"/>
      <c r="D35" s="116"/>
      <c r="E35" s="35"/>
      <c r="F35" s="35"/>
      <c r="G35" s="35"/>
      <c r="H35" s="35"/>
      <c r="I35" s="35"/>
      <c r="J35" s="35"/>
      <c r="K35" s="35"/>
      <c r="L35" s="35"/>
      <c r="M35" s="35"/>
      <c r="N35" s="35"/>
      <c r="O35" s="35"/>
      <c r="P35" s="35"/>
      <c r="Q35" s="35"/>
      <c r="R35" s="35"/>
      <c r="S35" s="35"/>
      <c r="T35" s="3"/>
      <c r="U35" s="3"/>
      <c r="V35" s="3"/>
      <c r="W35" s="151" t="str">
        <f>IF($S$59=TRUE,"heltreplater og akustikkplater.","")</f>
        <v/>
      </c>
      <c r="X35" s="3"/>
      <c r="Y35" s="3"/>
      <c r="Z35" s="3"/>
      <c r="AA35" s="3"/>
      <c r="AB35" s="3"/>
      <c r="AC35" s="3"/>
      <c r="AD35" s="3"/>
      <c r="AE35" s="3"/>
      <c r="AF35" s="3"/>
      <c r="AG35" s="3"/>
      <c r="AH35" s="3"/>
      <c r="AI35" s="3"/>
      <c r="AJ35" s="143" t="s">
        <v>99</v>
      </c>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row>
    <row r="36" spans="1:137" s="1" customFormat="1" ht="15" hidden="1" customHeight="1">
      <c r="A36" s="35"/>
      <c r="B36" s="35"/>
      <c r="C36" s="35"/>
      <c r="D36" s="35"/>
      <c r="E36" s="35"/>
      <c r="F36" s="35"/>
      <c r="G36" s="35"/>
      <c r="H36" s="43"/>
      <c r="I36" s="43"/>
      <c r="J36" s="43"/>
      <c r="K36" s="43"/>
      <c r="L36" s="43"/>
      <c r="M36" s="43"/>
      <c r="N36" s="43"/>
      <c r="O36" s="43"/>
      <c r="P36" s="35"/>
      <c r="Q36" s="35"/>
      <c r="R36" s="35"/>
      <c r="S36" s="35"/>
      <c r="T36" s="3"/>
      <c r="U36" s="3"/>
      <c r="V36" s="3"/>
      <c r="W36" s="151" t="str">
        <f>CONCATENATE(W30,W31,W32,W33,W34,W35)</f>
        <v/>
      </c>
      <c r="X36" s="3"/>
      <c r="Y36" s="3"/>
      <c r="Z36" s="3"/>
      <c r="AA36" s="3"/>
      <c r="AB36" s="3"/>
      <c r="AC36" s="3"/>
      <c r="AD36" s="3"/>
      <c r="AE36" s="3"/>
      <c r="AF36" s="3"/>
      <c r="AG36" s="3"/>
      <c r="AH36" s="3"/>
      <c r="AI36" s="3"/>
      <c r="AJ36" s="3" t="s">
        <v>76</v>
      </c>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row>
    <row r="37" spans="1:137" s="1" customFormat="1" ht="15" hidden="1" customHeight="1">
      <c r="A37" s="35"/>
      <c r="B37" s="146"/>
      <c r="C37" s="146"/>
      <c r="D37" s="146"/>
      <c r="E37" s="146"/>
      <c r="F37" s="146"/>
      <c r="G37" s="146"/>
      <c r="H37" s="146"/>
      <c r="I37" s="146"/>
      <c r="J37" s="144"/>
      <c r="K37" s="146"/>
      <c r="L37" s="146"/>
      <c r="M37" s="146"/>
      <c r="N37" s="146"/>
      <c r="O37" s="145"/>
      <c r="P37" s="35"/>
      <c r="Q37" s="95"/>
      <c r="R37" s="95"/>
      <c r="S37" s="35"/>
      <c r="T37" s="3"/>
      <c r="U37" s="3"/>
      <c r="V37" s="3"/>
      <c r="W37" s="3"/>
      <c r="X37" s="3" t="b">
        <f>IF(OR(T65=TRUE,T67=TRUE,T68=TRUE,U65=TRUE,U67=TRUE,U68=TRUE),TRUE,FALSE)</f>
        <v>0</v>
      </c>
      <c r="Y37" s="3"/>
      <c r="Z37" s="3"/>
      <c r="AA37" s="3"/>
      <c r="AB37" s="3"/>
      <c r="AC37" s="3"/>
      <c r="AD37" s="3"/>
      <c r="AE37" s="3"/>
      <c r="AF37" s="3"/>
      <c r="AG37" s="3"/>
      <c r="AH37" s="3"/>
      <c r="AI37" s="3"/>
      <c r="AJ37" s="3" t="s">
        <v>112</v>
      </c>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row>
    <row r="38" spans="1:137" s="1" customFormat="1" ht="15" hidden="1" customHeight="1">
      <c r="A38" s="35"/>
      <c r="B38" s="35"/>
      <c r="C38" s="95"/>
      <c r="D38" s="95"/>
      <c r="E38" s="95"/>
      <c r="F38" s="95"/>
      <c r="G38" s="95"/>
      <c r="H38" s="95"/>
      <c r="J38" s="95"/>
      <c r="K38" s="95"/>
      <c r="L38" s="95"/>
      <c r="M38" s="95"/>
      <c r="N38" s="95"/>
      <c r="O38" s="95"/>
      <c r="P38" s="95"/>
      <c r="Q38" s="95"/>
      <c r="R38" s="95"/>
      <c r="S38" s="35"/>
      <c r="T38" s="3"/>
      <c r="U38" s="3"/>
      <c r="V38" s="3"/>
      <c r="W38" s="3"/>
      <c r="X38" s="3" t="str">
        <f>IF(X37=TRUE,"navngitt","navngitte")</f>
        <v>navngitte</v>
      </c>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row>
    <row r="39" spans="1:137" s="1" customFormat="1" ht="15" hidden="1" customHeight="1">
      <c r="A39" s="35"/>
      <c r="B39" s="116"/>
      <c r="C39" s="144"/>
      <c r="D39" s="144"/>
      <c r="E39" s="144"/>
      <c r="F39" s="144"/>
      <c r="G39" s="144"/>
      <c r="H39" s="146"/>
      <c r="I39" s="144"/>
      <c r="J39" s="144"/>
      <c r="K39" s="95"/>
      <c r="L39" s="95"/>
      <c r="M39" s="95"/>
      <c r="N39" s="144"/>
      <c r="O39" s="144"/>
      <c r="P39" s="144"/>
      <c r="Q39" s="95"/>
      <c r="R39" s="95"/>
      <c r="S39" s="35"/>
      <c r="T39" s="3"/>
      <c r="U39" s="3"/>
      <c r="V39" s="3"/>
      <c r="W39" s="3"/>
      <c r="X39" s="3"/>
      <c r="Y39" s="3"/>
      <c r="Z39" s="3"/>
      <c r="AA39" s="3"/>
      <c r="AB39" s="3"/>
      <c r="AC39" s="3"/>
      <c r="AD39" s="3"/>
      <c r="AE39" s="3"/>
      <c r="AF39" s="3"/>
      <c r="AG39" s="3"/>
      <c r="AH39" s="3"/>
      <c r="AI39" s="3"/>
      <c r="AJ39" s="142"/>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row>
    <row r="40" spans="1:137" s="1" customFormat="1" ht="15" hidden="1" customHeight="1">
      <c r="A40" s="35"/>
      <c r="B40" s="116"/>
      <c r="C40" s="144"/>
      <c r="D40" s="144"/>
      <c r="E40" s="144"/>
      <c r="F40" s="144"/>
      <c r="G40" s="144"/>
      <c r="H40" s="144"/>
      <c r="I40" s="144"/>
      <c r="J40" s="144"/>
      <c r="K40" s="95"/>
      <c r="L40" s="95"/>
      <c r="M40" s="95"/>
      <c r="N40" s="144"/>
      <c r="O40" s="95"/>
      <c r="P40" s="95"/>
      <c r="Q40" s="95"/>
      <c r="R40" s="95"/>
      <c r="S40" s="35"/>
      <c r="T40" s="3"/>
      <c r="U40" s="3"/>
      <c r="V40" s="3"/>
      <c r="W40" s="3" t="s">
        <v>100</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row>
    <row r="41" spans="1:137" s="1" customFormat="1" ht="21" hidden="1" customHeight="1">
      <c r="A41" s="35"/>
      <c r="B41" s="116"/>
      <c r="C41" s="144"/>
      <c r="D41" s="144"/>
      <c r="E41" s="144"/>
      <c r="F41" s="144"/>
      <c r="G41" s="144"/>
      <c r="H41" s="144"/>
      <c r="I41" s="144"/>
      <c r="J41" s="144"/>
      <c r="K41" s="95"/>
      <c r="L41" s="95"/>
      <c r="M41" s="95"/>
      <c r="N41" s="95"/>
      <c r="O41" s="95"/>
      <c r="P41" s="95"/>
      <c r="Q41" s="95"/>
      <c r="R41" s="95"/>
      <c r="S41" s="35"/>
      <c r="T41" s="3"/>
      <c r="U41" s="3"/>
      <c r="V41" s="3"/>
      <c r="W41" s="3" t="str">
        <f>IF(R60=1,"",IF(AND(V5=2,R48=3),"Følgende produkter tilfredsstiller krav som stilles til "&amp;W73&amp;" i emne «HEA 9 - Forurensning i innemiljø».",IF(AND(V5=3,R48=3),"Følgende produkter tilfredsstiller krav som stilles til "&amp;W73&amp;" i emne «HEA 02 - Inneluftkvalitet».","Følgende "&amp;W73&amp;" tilfredsstiller minimumskrav til miljøgifter i sjekkliste A20")))</f>
        <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row>
    <row r="42" spans="1:137" s="1" customFormat="1" ht="15" hidden="1" customHeight="1">
      <c r="A42" s="35"/>
      <c r="B42" s="116"/>
      <c r="C42" s="144"/>
      <c r="D42" s="144"/>
      <c r="E42" s="144"/>
      <c r="F42" s="144"/>
      <c r="G42" s="144"/>
      <c r="H42" s="144"/>
      <c r="I42" s="144"/>
      <c r="J42" s="144"/>
      <c r="K42" s="95"/>
      <c r="L42" s="95"/>
      <c r="M42" s="95"/>
      <c r="N42" s="95"/>
      <c r="O42" s="95"/>
      <c r="P42" s="95"/>
      <c r="Q42" s="95"/>
      <c r="R42" s="95"/>
      <c r="S42" s="35"/>
      <c r="T42" s="3"/>
      <c r="U42" s="3"/>
      <c r="V42" s="3"/>
      <c r="W42" s="3" t="str">
        <f>IF(R48=1,"",IF(R60=1,"",IF(T69=TRUE,"",IF(T70=TRUE,"","(her kan alle typer "&amp;W73&amp;" fra produsenten som tilfredsstiller kriteriene nedenfor listes opp, og på den måten slippe å fylle ut ett skjema for hvert produkt):"))))</f>
        <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row>
    <row r="43" spans="1:137" s="1" customFormat="1" ht="7.5" hidden="1" customHeight="1">
      <c r="A43" s="35"/>
      <c r="B43" s="116"/>
      <c r="C43" s="116"/>
      <c r="D43" s="147"/>
      <c r="E43" s="147"/>
      <c r="F43" s="147"/>
      <c r="G43" s="147"/>
      <c r="H43" s="148"/>
      <c r="I43" s="148"/>
      <c r="J43" s="148"/>
      <c r="K43" s="122"/>
      <c r="L43" s="122"/>
      <c r="M43" s="122"/>
      <c r="N43" s="122"/>
      <c r="O43" s="35"/>
      <c r="P43" s="35"/>
      <c r="Q43" s="35"/>
      <c r="R43" s="35"/>
      <c r="S43" s="35"/>
      <c r="T43" s="3"/>
      <c r="U43" s="3"/>
      <c r="V43" s="3"/>
      <c r="W43" s="151" t="str">
        <f>IF(AND(V5=3,R48=2,R60=4),W40,IF(R48=1,"",IF(AND(V5=2,R48=2,R60=10),"",IF(AND(V5=2,R48=2,R60=9),"",IF(AND(V5=2,R48=2,R60=11),"",IF(AND(V5=2,R48=3,R60=11),"",IF(AND(V5=2,R48=3,R60=12),"",IF(AND(V5=3,R48=3,R60=12),"",CONCATENATE(W41," ",W42)))))))))</f>
        <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row>
    <row r="44" spans="1:137" s="1" customFormat="1" ht="15" hidden="1" customHeight="1">
      <c r="A44" s="35"/>
      <c r="B44" s="116"/>
      <c r="C44" s="149"/>
      <c r="D44" s="149"/>
      <c r="E44" s="149"/>
      <c r="F44" s="149"/>
      <c r="G44" s="149"/>
      <c r="H44" s="149"/>
      <c r="I44" s="149"/>
      <c r="J44" s="149"/>
      <c r="K44" s="114"/>
      <c r="L44" s="114"/>
      <c r="M44" s="114"/>
      <c r="N44" s="114"/>
      <c r="O44" s="114"/>
      <c r="P44" s="114"/>
      <c r="Q44" s="114"/>
      <c r="R44" s="114"/>
      <c r="S44" s="35"/>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row>
    <row r="45" spans="1:137" s="1" customFormat="1" ht="15" hidden="1" customHeight="1">
      <c r="A45" s="35"/>
      <c r="B45" s="116"/>
      <c r="C45" s="149"/>
      <c r="D45" s="149"/>
      <c r="E45" s="149"/>
      <c r="F45" s="149"/>
      <c r="G45" s="149"/>
      <c r="H45" s="149"/>
      <c r="I45" s="149"/>
      <c r="J45" s="149"/>
      <c r="K45" s="114"/>
      <c r="L45" s="114"/>
      <c r="M45" s="114"/>
      <c r="N45" s="114"/>
      <c r="O45" s="114"/>
      <c r="P45" s="114"/>
      <c r="Q45" s="114"/>
      <c r="R45" s="114"/>
      <c r="S45" s="35"/>
      <c r="T45" s="3"/>
      <c r="U45" s="3"/>
      <c r="V45" s="3"/>
      <c r="W45" s="3" t="str">
        <f>W41</f>
        <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row>
    <row r="46" spans="1:137" s="1" customFormat="1" ht="15" hidden="1" customHeight="1">
      <c r="A46" s="35"/>
      <c r="B46" s="116"/>
      <c r="C46" s="149"/>
      <c r="D46" s="149"/>
      <c r="E46" s="149"/>
      <c r="F46" s="149"/>
      <c r="G46" s="149"/>
      <c r="H46" s="149"/>
      <c r="I46" s="149"/>
      <c r="J46" s="149"/>
      <c r="K46" s="114"/>
      <c r="L46" s="114"/>
      <c r="M46" s="114"/>
      <c r="N46" s="114"/>
      <c r="O46" s="114"/>
      <c r="P46" s="114"/>
      <c r="Q46" s="114"/>
      <c r="R46" s="114"/>
      <c r="S46" s="35"/>
      <c r="T46" s="3">
        <v>2</v>
      </c>
      <c r="U46" s="3"/>
      <c r="V46" s="3"/>
      <c r="W46" s="3"/>
      <c r="X46" s="3"/>
      <c r="Y46" s="3"/>
      <c r="Z46" s="3">
        <f>LEN(AB46)</f>
        <v>120</v>
      </c>
      <c r="AA46" s="3"/>
      <c r="AB46" s="3" t="s">
        <v>11</v>
      </c>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row>
    <row r="47" spans="1:137" s="3" customFormat="1" ht="8.25" hidden="1" customHeight="1">
      <c r="H47" s="4"/>
      <c r="I47" s="4"/>
      <c r="J47" s="4"/>
      <c r="K47" s="4"/>
      <c r="L47" s="4"/>
      <c r="M47" s="4"/>
      <c r="N47" s="4"/>
      <c r="Z47" s="3">
        <f>LEN(AB47)</f>
        <v>253</v>
      </c>
      <c r="AB47" s="3" t="s">
        <v>12</v>
      </c>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row>
    <row r="48" spans="1:137" s="2" customFormat="1" ht="15" hidden="1" customHeight="1">
      <c r="A48" s="3"/>
      <c r="B48" s="3"/>
      <c r="C48" s="3"/>
      <c r="D48" s="3"/>
      <c r="E48" s="3"/>
      <c r="F48" s="3"/>
      <c r="G48" s="3"/>
      <c r="H48" s="3"/>
      <c r="I48" s="3"/>
      <c r="J48" s="3"/>
      <c r="K48" s="3"/>
      <c r="L48" s="3"/>
      <c r="M48" s="3"/>
      <c r="N48" s="3"/>
      <c r="O48" s="3"/>
      <c r="P48" s="3"/>
      <c r="Q48" s="3"/>
      <c r="R48" s="12">
        <v>1</v>
      </c>
      <c r="T48" s="12" t="b">
        <f>IF(R48=1,TRUE,IF(R48=2,TRUE,IF($R$67=FALSE,TRUE,FALSE)))</f>
        <v>1</v>
      </c>
      <c r="U48" s="3"/>
      <c r="V48" s="3" t="b">
        <f>IF(AND(V5=2,R48=3),TRUE,FALSE)</f>
        <v>0</v>
      </c>
      <c r="W48" s="3"/>
      <c r="X48" s="3"/>
      <c r="Y48" s="3"/>
      <c r="Z48" s="3">
        <f>LEN(AB48)</f>
        <v>76</v>
      </c>
      <c r="AA48" s="3"/>
      <c r="AB48" s="3" t="s">
        <v>57</v>
      </c>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106"/>
      <c r="BV48" s="106"/>
      <c r="BW48" s="106"/>
      <c r="BX48" s="106"/>
      <c r="BY48" s="106"/>
      <c r="BZ48" s="106"/>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6"/>
      <c r="DV48" s="106"/>
      <c r="DW48" s="106"/>
      <c r="DX48" s="106"/>
      <c r="DY48" s="106"/>
      <c r="DZ48" s="106"/>
      <c r="EA48" s="106"/>
      <c r="EB48" s="106"/>
      <c r="EC48" s="106"/>
      <c r="ED48" s="106"/>
      <c r="EE48" s="106"/>
      <c r="EF48" s="106"/>
      <c r="EG48" s="106"/>
    </row>
    <row r="49" spans="1:137" s="2" customFormat="1" ht="15" hidden="1" customHeight="1">
      <c r="A49" s="3"/>
      <c r="B49" s="3"/>
      <c r="C49" s="3"/>
      <c r="D49" s="3"/>
      <c r="E49" s="3"/>
      <c r="F49" s="3"/>
      <c r="G49" s="3"/>
      <c r="H49" s="3"/>
      <c r="I49" s="3"/>
      <c r="J49" s="3"/>
      <c r="K49" s="3"/>
      <c r="L49" s="3"/>
      <c r="M49" s="3"/>
      <c r="N49" s="3"/>
      <c r="O49" s="3"/>
      <c r="P49" s="3"/>
      <c r="Q49" s="3"/>
      <c r="R49" s="2">
        <v>1</v>
      </c>
      <c r="S49" s="13" t="str">
        <f>IF(V5=1,"-","- Velg -")</f>
        <v>-</v>
      </c>
      <c r="T49" s="3"/>
      <c r="U49" s="3"/>
      <c r="V49" s="3"/>
      <c r="W49" s="3" t="b">
        <f>IF(OR(S50="-",S51="-"),TRUE,FALSE)</f>
        <v>1</v>
      </c>
      <c r="X49" s="3"/>
      <c r="Y49" s="3"/>
      <c r="Z49" s="3"/>
      <c r="AA49" s="3"/>
      <c r="AB49" s="3" t="str">
        <f>CONCATENATE(AB46,AB47,AB48)</f>
        <v>Ferdig utfylt skjema undertegnes av en juridisk ansvarlig person hos produsent, f.eks. teknisk sjef eller daglig leder. Det er viktig at opplysningene som oppgis her er korrekte, og det oppfordres til grundighet når man undersøker hvorvidt emisjonstester og/eller testrapporter viser at produktet tilfredsstiller de standardene og emisjonsgrensene som BREEAM-NOR har satt. Er produsenten i tvil, bør man benytte egne interne og eksterne konsulenter.</v>
      </c>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6"/>
      <c r="DV49" s="106"/>
      <c r="DW49" s="106"/>
      <c r="DX49" s="106"/>
      <c r="DY49" s="106"/>
      <c r="DZ49" s="106"/>
      <c r="EA49" s="106"/>
      <c r="EB49" s="106"/>
      <c r="EC49" s="106"/>
      <c r="ED49" s="106"/>
      <c r="EE49" s="106"/>
      <c r="EF49" s="106"/>
      <c r="EG49" s="106"/>
    </row>
    <row r="50" spans="1:137" s="2" customFormat="1" ht="15" hidden="1" customHeight="1">
      <c r="A50" s="3"/>
      <c r="B50" s="3"/>
      <c r="C50" s="3"/>
      <c r="D50" s="59"/>
      <c r="E50" s="3"/>
      <c r="F50" s="3"/>
      <c r="G50" s="3"/>
      <c r="H50" s="3"/>
      <c r="I50" s="3"/>
      <c r="J50" s="3"/>
      <c r="K50" s="3"/>
      <c r="L50" s="3"/>
      <c r="M50" s="3"/>
      <c r="N50" s="3"/>
      <c r="O50" s="3"/>
      <c r="P50" s="3"/>
      <c r="Q50" s="3"/>
      <c r="R50" s="2">
        <v>2</v>
      </c>
      <c r="S50" s="2" t="str">
        <f>IF(AND(R48=1,V5=1),"-",IF(AND(R48=2,V5=1),"-",IF(AND(R48=3,V5=1),"-","BREEAM-NOR Egendeklarasjon A20")))</f>
        <v>-</v>
      </c>
      <c r="T50" s="3"/>
      <c r="U50" s="3"/>
      <c r="V50" s="3"/>
      <c r="W50" s="3" t="b">
        <f>IF(OR(S54="-",S55="-"),TRUE,FALSE)</f>
        <v>1</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c r="EA50" s="106"/>
      <c r="EB50" s="106"/>
      <c r="EC50" s="106"/>
      <c r="ED50" s="106"/>
      <c r="EE50" s="106"/>
      <c r="EF50" s="106"/>
      <c r="EG50" s="106"/>
    </row>
    <row r="51" spans="1:137" s="2" customFormat="1" ht="15" hidden="1" customHeight="1">
      <c r="A51" s="3"/>
      <c r="B51" s="3"/>
      <c r="C51" s="3"/>
      <c r="E51" s="3"/>
      <c r="F51" s="3"/>
      <c r="G51" s="3"/>
      <c r="H51" s="3"/>
      <c r="I51" s="3"/>
      <c r="J51" s="3"/>
      <c r="K51" s="3"/>
      <c r="L51" s="3"/>
      <c r="M51" s="3"/>
      <c r="N51" s="3"/>
      <c r="O51" s="3"/>
      <c r="P51" s="3"/>
      <c r="Q51" s="3"/>
      <c r="R51" s="2">
        <v>3</v>
      </c>
      <c r="S51" s="2" t="str">
        <f>IF(AND(R48=1,V5=2),"BREEAM-NOR Egendeklarasjon HEA 9",IF(AND(R48=2,V5=2),"BREEAM-NOR Egendeklarasjon HEA 9",IF(AND(R48=2,V5=3),"BREEAM-NOR Egendeklarasjon HEA 02",IF(AND(R48=3,V5=2),"BREEAM-NOR Egendeklarasjon HEA 9",IF(AND(R48=1,V5=3),"BREEAM-NOR Egendeklarasjon HEA 02",IF(AND(R48=3,V5=3),"BREEAM-NOR Egendeklarasjon HEA 02","-"))))))</f>
        <v>-</v>
      </c>
      <c r="T51" s="3"/>
      <c r="U51" s="3"/>
      <c r="V51" s="3" t="b">
        <f>IF(R48=3,TRUE,FALSE)</f>
        <v>0</v>
      </c>
      <c r="W51" s="3"/>
      <c r="X51" s="3"/>
      <c r="Y51" s="3"/>
      <c r="Z51" s="3">
        <f>LEN(AB51)</f>
        <v>219</v>
      </c>
      <c r="AA51" s="3"/>
      <c r="AB51" s="3" t="s">
        <v>13</v>
      </c>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c r="EB51" s="106"/>
      <c r="EC51" s="106"/>
      <c r="ED51" s="106"/>
      <c r="EE51" s="106"/>
      <c r="EF51" s="106"/>
      <c r="EG51" s="106"/>
    </row>
    <row r="52" spans="1:137" s="2" customFormat="1" ht="15" hidden="1" customHeight="1">
      <c r="A52" s="3"/>
      <c r="B52" s="3"/>
      <c r="C52" s="3"/>
      <c r="D52" s="3"/>
      <c r="E52" s="3"/>
      <c r="F52" s="3"/>
      <c r="G52" s="3"/>
      <c r="H52" s="3"/>
      <c r="I52" s="3"/>
      <c r="J52" s="3"/>
      <c r="K52" s="3"/>
      <c r="L52" s="3"/>
      <c r="M52" s="3"/>
      <c r="N52" s="3"/>
      <c r="O52" s="3"/>
      <c r="P52" s="3"/>
      <c r="Q52" s="3"/>
      <c r="R52" s="12">
        <v>1</v>
      </c>
      <c r="S52" s="2">
        <f>R48+R52</f>
        <v>2</v>
      </c>
      <c r="T52" s="3"/>
      <c r="U52" s="3"/>
      <c r="V52" s="3"/>
      <c r="W52" s="3"/>
      <c r="X52" s="3"/>
      <c r="Y52" s="3"/>
      <c r="Z52" s="3">
        <f>LEN(AB52)</f>
        <v>208</v>
      </c>
      <c r="AA52" s="3"/>
      <c r="AB52" s="3" t="s">
        <v>77</v>
      </c>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row>
    <row r="53" spans="1:137" s="2" customFormat="1" ht="15" hidden="1" customHeight="1">
      <c r="A53" s="3"/>
      <c r="B53" s="3"/>
      <c r="C53" s="3"/>
      <c r="D53" s="3"/>
      <c r="E53" s="3"/>
      <c r="F53" s="3"/>
      <c r="G53" s="3"/>
      <c r="H53" s="3"/>
      <c r="I53" s="3"/>
      <c r="J53" s="3"/>
      <c r="K53" s="3"/>
      <c r="L53" s="3"/>
      <c r="N53" s="3"/>
      <c r="O53" s="3"/>
      <c r="P53" s="3"/>
      <c r="Q53" s="3"/>
      <c r="R53" s="2">
        <v>1</v>
      </c>
      <c r="S53" s="13" t="str">
        <f>IF(R48=1,"-",IF(R48=3,"Ikke påkrevd",IF(AND(R52=1,W49=FALSE),"- Velg -",IF(W49=TRUE,"- ",IF(S49="- Velg -","-",IF(R48=2,"- Velg -","-"))))))</f>
        <v>-</v>
      </c>
      <c r="T53" s="3"/>
      <c r="U53" s="3"/>
      <c r="V53" s="3"/>
      <c r="W53" s="3"/>
      <c r="X53" s="3"/>
      <c r="Y53" s="3"/>
      <c r="Z53" s="3">
        <f>LEN(AB53)</f>
        <v>76</v>
      </c>
      <c r="AA53" s="3"/>
      <c r="AB53" s="3" t="s">
        <v>56</v>
      </c>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6"/>
      <c r="DV53" s="106"/>
      <c r="DW53" s="106"/>
      <c r="DX53" s="106"/>
      <c r="DY53" s="106"/>
      <c r="DZ53" s="106"/>
      <c r="EA53" s="106"/>
      <c r="EB53" s="106"/>
      <c r="EC53" s="106"/>
      <c r="ED53" s="106"/>
      <c r="EE53" s="106"/>
      <c r="EF53" s="106"/>
      <c r="EG53" s="106"/>
    </row>
    <row r="54" spans="1:137" s="2" customFormat="1" ht="15" hidden="1" customHeight="1">
      <c r="A54" s="3"/>
      <c r="B54" s="3"/>
      <c r="C54" s="3"/>
      <c r="D54" s="3"/>
      <c r="E54" s="3"/>
      <c r="F54" s="3"/>
      <c r="G54" s="3"/>
      <c r="H54" s="3"/>
      <c r="I54" s="3"/>
      <c r="J54" s="3"/>
      <c r="K54" s="3"/>
      <c r="L54" s="3"/>
      <c r="N54" s="3"/>
      <c r="O54" s="3"/>
      <c r="P54" s="3"/>
      <c r="Q54" s="3"/>
      <c r="R54" s="2">
        <v>2</v>
      </c>
      <c r="S54" s="2" t="str">
        <f>IF(AND(V5=2,R48=2),"For prosjekter registrert fra 14.03.2012 til 30.03.2013",IF(AND(V5=3,R48=2),"For prosjekter registrert etter 01.08.2016","-"))</f>
        <v>-</v>
      </c>
      <c r="T54" s="3"/>
      <c r="U54" s="3"/>
      <c r="V54" s="3"/>
      <c r="W54" s="3"/>
      <c r="X54" s="3"/>
      <c r="Y54" s="3"/>
      <c r="Z54" s="3">
        <f>LEN(AB54)</f>
        <v>273</v>
      </c>
      <c r="AA54" s="3"/>
      <c r="AB54" s="2" t="s">
        <v>128</v>
      </c>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106"/>
      <c r="BV54" s="106"/>
      <c r="BW54" s="106"/>
      <c r="BX54" s="106"/>
      <c r="BY54" s="106"/>
      <c r="BZ54" s="106"/>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6"/>
      <c r="EA54" s="106"/>
      <c r="EB54" s="106"/>
      <c r="EC54" s="106"/>
      <c r="ED54" s="106"/>
      <c r="EE54" s="106"/>
      <c r="EF54" s="106"/>
      <c r="EG54" s="106"/>
    </row>
    <row r="55" spans="1:137" s="2" customFormat="1" ht="15" hidden="1" customHeight="1">
      <c r="A55" s="3"/>
      <c r="B55" s="3"/>
      <c r="C55" s="3"/>
      <c r="E55" s="3"/>
      <c r="F55" s="3"/>
      <c r="G55" s="3"/>
      <c r="H55" s="3"/>
      <c r="I55" s="3"/>
      <c r="J55" s="3"/>
      <c r="K55" s="3"/>
      <c r="L55" s="3"/>
      <c r="O55" s="3"/>
      <c r="P55" s="3"/>
      <c r="Q55" s="3"/>
      <c r="R55" s="2">
        <v>3</v>
      </c>
      <c r="S55" s="2" t="str">
        <f>IF(AND(V5=2,R48=2),"For prosjekter registrert fra 01.04.2013 til 31.08.2016",IF(AND(V5=3,R48=3),"-","-"))</f>
        <v>-</v>
      </c>
      <c r="T55" s="3"/>
      <c r="U55" s="3"/>
      <c r="V55" s="3"/>
      <c r="W55" s="3"/>
      <c r="X55" s="3"/>
      <c r="Y55" s="3"/>
      <c r="Z55" s="3"/>
      <c r="AA55" s="3"/>
      <c r="AB55" s="3" t="str">
        <f>CONCATENATE(AB51,AB52,AB53,AB54)</f>
        <v>Ferdig utfylt skjema undertegnes av en juridisk ansvarlig person hos produsent, f.eks. teknisk sjef eller daglig leder. Stoffer som skal unngås kan ikke finnes i produktet, verken i fri, i bunden eller i naturlig form. Konsentrasjoner under grenseverdien på ≤ 0,1 % godtas. Det er forutsatt at informasjonen i A20-listen er kjent. Bemerk dato på deklarasjonsskjema må samsvare med gjeldende prosessnotat i det angitte tidsrom. For faste bygningsprodukter vil godkjent dokumentasjon være ett av følgende: Karakter 1 – 6 (grønn eller hvit) iht. ECOproduct (Norsk Byggtjeneste), Sintef Byggforsk Teknisk Godkjenning utarbeidet etter 1. januar 2010, Miljømerket Svanen eller EU-blomsten. For kjemiske produkter kan man også sjekke opp mot sikkerhetsdatabladet (SDS) for produktet.</v>
      </c>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106"/>
      <c r="BV55" s="106"/>
      <c r="BW55" s="106"/>
      <c r="BX55" s="106"/>
      <c r="BY55" s="106"/>
      <c r="BZ55" s="106"/>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c r="EA55" s="106"/>
      <c r="EB55" s="106"/>
      <c r="EC55" s="106"/>
      <c r="ED55" s="106"/>
      <c r="EE55" s="106"/>
      <c r="EF55" s="106"/>
      <c r="EG55" s="106"/>
    </row>
    <row r="56" spans="1:137" s="2" customFormat="1" ht="15" hidden="1" customHeight="1">
      <c r="A56" s="3"/>
      <c r="B56" s="3"/>
      <c r="C56" s="3"/>
      <c r="D56" s="3"/>
      <c r="E56" s="3"/>
      <c r="F56" s="3"/>
      <c r="G56" s="3"/>
      <c r="H56" s="3"/>
      <c r="I56" s="3"/>
      <c r="J56" s="3"/>
      <c r="K56" s="3"/>
      <c r="L56" s="3"/>
      <c r="M56" s="5"/>
      <c r="N56" s="3"/>
      <c r="O56" s="3"/>
      <c r="P56" s="3"/>
      <c r="Q56" s="3"/>
      <c r="R56" s="2" t="b">
        <f>IF(R48=1,IF(R52=1,TRUE,IF(R48=1,IF(R52=2,TRUE,FALSE))))</f>
        <v>1</v>
      </c>
      <c r="T56" s="3"/>
      <c r="U56" s="3"/>
      <c r="V56" s="3"/>
      <c r="W56" s="3"/>
      <c r="X56" s="3"/>
      <c r="Y56" s="3"/>
      <c r="Z56" s="3"/>
      <c r="AA56" s="3"/>
      <c r="AB56" s="3"/>
      <c r="AC56" s="3"/>
      <c r="AD56" s="3"/>
      <c r="AE56" s="3"/>
      <c r="AF56" s="3"/>
      <c r="AG56" s="3"/>
      <c r="AH56" s="3"/>
      <c r="AI56" s="3" t="s">
        <v>132</v>
      </c>
      <c r="AJ56" s="3" t="s">
        <v>133</v>
      </c>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106"/>
      <c r="BV56" s="106"/>
      <c r="BW56" s="106"/>
      <c r="BX56" s="106"/>
      <c r="BY56" s="106"/>
      <c r="BZ56" s="106"/>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c r="DH56" s="106"/>
      <c r="DI56" s="106"/>
      <c r="DJ56" s="106"/>
      <c r="DK56" s="106"/>
      <c r="DL56" s="106"/>
      <c r="DM56" s="106"/>
      <c r="DN56" s="106"/>
      <c r="DO56" s="106"/>
      <c r="DP56" s="106"/>
      <c r="DQ56" s="106"/>
      <c r="DR56" s="106"/>
      <c r="DS56" s="106"/>
      <c r="DT56" s="106"/>
      <c r="DU56" s="106"/>
      <c r="DV56" s="106"/>
      <c r="DW56" s="106"/>
      <c r="DX56" s="106"/>
      <c r="DY56" s="106"/>
      <c r="DZ56" s="106"/>
      <c r="EA56" s="106"/>
      <c r="EB56" s="106"/>
      <c r="EC56" s="106"/>
      <c r="ED56" s="106"/>
      <c r="EE56" s="106"/>
      <c r="EF56" s="106"/>
      <c r="EG56" s="106"/>
    </row>
    <row r="57" spans="1:137" s="2" customFormat="1" ht="15" hidden="1" customHeight="1">
      <c r="A57" s="3"/>
      <c r="B57" s="3"/>
      <c r="C57" s="3"/>
      <c r="D57" s="3"/>
      <c r="E57" s="3"/>
      <c r="F57" s="3"/>
      <c r="G57" s="3"/>
      <c r="H57" s="3"/>
      <c r="I57" s="3"/>
      <c r="J57" s="3"/>
      <c r="K57" s="3"/>
      <c r="L57" s="3"/>
      <c r="M57" s="5"/>
      <c r="N57" s="3"/>
      <c r="O57" s="3"/>
      <c r="P57" s="3"/>
      <c r="Q57" s="3"/>
      <c r="S57" s="2" t="s">
        <v>107</v>
      </c>
      <c r="T57" s="3"/>
      <c r="U57" s="3"/>
      <c r="V57" s="3"/>
      <c r="W57" s="3"/>
      <c r="X57" s="3"/>
      <c r="Y57" s="3"/>
      <c r="Z57" s="2" t="s">
        <v>108</v>
      </c>
      <c r="AA57" s="3"/>
      <c r="AB57" s="3"/>
      <c r="AC57" s="3"/>
      <c r="AD57" s="3"/>
      <c r="AE57" s="3"/>
      <c r="AF57" s="3"/>
      <c r="AG57" s="3"/>
      <c r="AH57" s="3"/>
      <c r="AI57" s="3" t="s">
        <v>130</v>
      </c>
      <c r="AJ57" s="3" t="s">
        <v>131</v>
      </c>
      <c r="AK57" s="8"/>
      <c r="AL57" s="3"/>
      <c r="AM57" s="11"/>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106"/>
      <c r="BV57" s="106"/>
      <c r="BW57" s="106"/>
      <c r="BX57" s="106"/>
      <c r="BY57" s="106"/>
      <c r="BZ57" s="106"/>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c r="EA57" s="106"/>
      <c r="EB57" s="106"/>
      <c r="EC57" s="106"/>
      <c r="ED57" s="106"/>
      <c r="EE57" s="106"/>
      <c r="EF57" s="106"/>
      <c r="EG57" s="106"/>
    </row>
    <row r="58" spans="1:137" s="2" customFormat="1" ht="15" hidden="1" customHeight="1">
      <c r="A58" s="3"/>
      <c r="B58" s="3"/>
      <c r="C58" s="3"/>
      <c r="D58" s="3"/>
      <c r="E58" s="3"/>
      <c r="F58" s="3"/>
      <c r="G58" s="3"/>
      <c r="H58" s="3"/>
      <c r="I58" s="3"/>
      <c r="J58" s="3"/>
      <c r="K58" s="3"/>
      <c r="L58" s="3"/>
      <c r="M58" s="5"/>
      <c r="N58" s="3"/>
      <c r="O58" s="3"/>
      <c r="P58" s="3"/>
      <c r="Q58" s="3"/>
      <c r="S58" s="2" t="s">
        <v>81</v>
      </c>
      <c r="T58" s="3" t="s">
        <v>2</v>
      </c>
      <c r="U58" s="3" t="s">
        <v>1</v>
      </c>
      <c r="V58" s="3"/>
      <c r="W58" s="3"/>
      <c r="X58" s="3" t="s">
        <v>8</v>
      </c>
      <c r="Y58" s="3"/>
      <c r="Z58" s="2" t="s">
        <v>109</v>
      </c>
      <c r="AA58" s="3" t="s">
        <v>2</v>
      </c>
      <c r="AB58" s="3" t="s">
        <v>1</v>
      </c>
      <c r="AC58" s="3" t="s">
        <v>101</v>
      </c>
      <c r="AD58" s="3" t="s">
        <v>111</v>
      </c>
      <c r="AE58" s="3" t="s">
        <v>124</v>
      </c>
      <c r="AF58" s="3" t="s">
        <v>102</v>
      </c>
      <c r="AG58" s="3"/>
      <c r="AH58" s="3"/>
      <c r="AI58" s="3"/>
      <c r="AJ58" s="3"/>
      <c r="AK58" s="11"/>
      <c r="AL58" s="3"/>
      <c r="AM58" s="3"/>
      <c r="AN58" s="3"/>
      <c r="AO58" s="3"/>
      <c r="AP58" s="11"/>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106"/>
      <c r="BV58" s="106"/>
      <c r="BW58" s="106"/>
      <c r="BX58" s="106"/>
      <c r="BY58" s="106"/>
      <c r="BZ58" s="106"/>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c r="EA58" s="106"/>
      <c r="EB58" s="106"/>
      <c r="EC58" s="106"/>
      <c r="ED58" s="106"/>
      <c r="EE58" s="106"/>
      <c r="EF58" s="106"/>
      <c r="EG58" s="106"/>
    </row>
    <row r="59" spans="1:137" s="2" customFormat="1" ht="15" hidden="1" customHeight="1">
      <c r="A59" s="3"/>
      <c r="B59" s="3"/>
      <c r="C59" s="3"/>
      <c r="D59" s="3"/>
      <c r="E59" s="3"/>
      <c r="F59" s="3"/>
      <c r="G59" s="3"/>
      <c r="H59" s="3"/>
      <c r="I59" s="3"/>
      <c r="J59" s="3"/>
      <c r="K59" s="3"/>
      <c r="L59" s="3"/>
      <c r="M59" s="5"/>
      <c r="N59" s="3"/>
      <c r="O59" s="3"/>
      <c r="P59" s="3"/>
      <c r="Q59" s="3"/>
      <c r="S59" s="2" t="b">
        <f>IF(AND(V5=2,R48=3,R60=9),TRUE,FALSE)</f>
        <v>0</v>
      </c>
      <c r="T59" s="3" t="b">
        <f>IF(AND(V5=2,$R$48=3,$R$60=6),TRUE,FALSE)</f>
        <v>0</v>
      </c>
      <c r="U59" s="3" t="b">
        <f>IF(AND(V5=2,$R$48=3,$R$60=3),TRUE,FALSE)</f>
        <v>0</v>
      </c>
      <c r="V59" s="3" t="b">
        <f>IF(AND(V5=2,$R$48=3,$R$60=10),TRUE,FALSE)</f>
        <v>0</v>
      </c>
      <c r="W59" s="99" t="b">
        <f>IF(AND(V5=2,$R$48=3,$R$60=7),TRUE,FALSE)</f>
        <v>0</v>
      </c>
      <c r="X59" s="3" t="b">
        <f>IF(AND(V5=2,$R$48=2,$R$60=3),TRUE,FALSE)</f>
        <v>0</v>
      </c>
      <c r="Y59" s="3"/>
      <c r="Z59" s="2" t="b">
        <f>IF(AND(V5=3,R48=3,R60=3),TRUE,FALSE)</f>
        <v>0</v>
      </c>
      <c r="AA59" s="3" t="b">
        <f>IF(AND(V5=3,$R$48=3,$R$60=4),TRUE,FALSE)</f>
        <v>0</v>
      </c>
      <c r="AB59" s="3" t="b">
        <f>IF(AND(V5=3,$R$48=3,$R$60=3),TRUE,IF(AND(V5=3,$R$48=3,$R$60=6),TRUE,FALSE))</f>
        <v>0</v>
      </c>
      <c r="AC59" s="3" t="b">
        <f>IF(AND(V5=3,$R$48=3,$R$60=10),TRUE,FALSE)</f>
        <v>0</v>
      </c>
      <c r="AD59" s="3" t="b">
        <f>IF(AND(V5=3,$R$48=3,$R$60=7),TRUE,FALSE)</f>
        <v>0</v>
      </c>
      <c r="AE59" s="3" t="b">
        <f>IF(AND(V5=3,$R$48=3,$R$60=9),TRUE,FALSE)</f>
        <v>0</v>
      </c>
      <c r="AF59" s="3" t="b">
        <f>IF(AND($V$5=3,$R$48=3,$R$60=11),TRUE,FALSE)</f>
        <v>0</v>
      </c>
      <c r="AG59" s="3"/>
      <c r="AH59" s="3"/>
      <c r="AI59" s="8"/>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106"/>
      <c r="BV59" s="106"/>
      <c r="BW59" s="106"/>
      <c r="BX59" s="106"/>
      <c r="BY59" s="106"/>
      <c r="BZ59" s="106"/>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c r="EA59" s="106"/>
      <c r="EB59" s="106"/>
      <c r="EC59" s="106"/>
      <c r="ED59" s="106"/>
      <c r="EE59" s="106"/>
      <c r="EF59" s="106"/>
      <c r="EG59" s="106"/>
    </row>
    <row r="60" spans="1:137" s="2" customFormat="1" ht="15" hidden="1" customHeight="1">
      <c r="A60" s="3"/>
      <c r="B60" s="3"/>
      <c r="C60" s="3"/>
      <c r="D60" s="5"/>
      <c r="E60" s="5"/>
      <c r="F60" s="5"/>
      <c r="G60" s="5"/>
      <c r="H60" s="5"/>
      <c r="I60" s="5"/>
      <c r="J60" s="5"/>
      <c r="K60" s="5"/>
      <c r="L60" s="5"/>
      <c r="M60" s="5"/>
      <c r="N60" s="3"/>
      <c r="O60" s="3"/>
      <c r="P60" s="3"/>
      <c r="Q60" s="3"/>
      <c r="R60" s="12">
        <v>1</v>
      </c>
      <c r="T60" s="3"/>
      <c r="U60" s="3"/>
      <c r="V60" s="3"/>
      <c r="W60" s="3"/>
      <c r="X60" s="3"/>
      <c r="Y60" s="3"/>
      <c r="Z60" s="3"/>
      <c r="AA60" s="3"/>
      <c r="AB60" s="3"/>
      <c r="AC60" s="3"/>
      <c r="AD60" s="3"/>
      <c r="AE60" s="3"/>
      <c r="AF60" s="3"/>
      <c r="AG60" s="3"/>
      <c r="AH60" s="3"/>
      <c r="AI60" s="8"/>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206" t="s">
        <v>9</v>
      </c>
      <c r="BN60" s="206"/>
      <c r="BO60" s="206"/>
      <c r="BP60" s="3"/>
      <c r="BQ60" s="3"/>
      <c r="BR60" s="3"/>
      <c r="BS60" s="3"/>
      <c r="BT60" s="3"/>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row>
    <row r="61" spans="1:137" s="2" customFormat="1" ht="15" hidden="1" customHeight="1">
      <c r="A61" s="3"/>
      <c r="B61" s="3"/>
      <c r="C61" s="3"/>
      <c r="D61" s="3"/>
      <c r="E61" s="3"/>
      <c r="F61" s="3"/>
      <c r="G61" s="3"/>
      <c r="H61" s="3"/>
      <c r="I61" s="3"/>
      <c r="J61" s="3"/>
      <c r="K61" s="3"/>
      <c r="L61" s="3"/>
      <c r="M61" s="3"/>
      <c r="N61" s="3"/>
      <c r="O61" s="3"/>
      <c r="P61" s="2">
        <v>1</v>
      </c>
      <c r="Q61" s="13" t="str">
        <f>IF(V5=1,"-",IF(R48=3,"- Velg -",IF(R52=1,"-",IF(R48=2,"- Velg -","-"))))</f>
        <v>-</v>
      </c>
      <c r="R61" s="6" t="s">
        <v>9</v>
      </c>
      <c r="S61" s="2" t="s">
        <v>95</v>
      </c>
      <c r="T61" s="3" t="s">
        <v>96</v>
      </c>
      <c r="U61" s="3" t="s">
        <v>97</v>
      </c>
      <c r="V61" s="3" t="s">
        <v>98</v>
      </c>
      <c r="W61" s="4"/>
      <c r="X61" s="4"/>
      <c r="Y61" s="4"/>
      <c r="Z61" s="4"/>
      <c r="AA61" s="4"/>
      <c r="AB61" s="4"/>
      <c r="AC61" s="4"/>
      <c r="AD61" s="4"/>
      <c r="AE61" s="3"/>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t="s">
        <v>18</v>
      </c>
      <c r="BN61" s="4" t="s">
        <v>19</v>
      </c>
      <c r="BO61" s="4" t="s">
        <v>20</v>
      </c>
      <c r="BP61" s="3"/>
      <c r="BQ61" s="3"/>
      <c r="BR61" s="3"/>
      <c r="BS61" s="3"/>
      <c r="BT61" s="3"/>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row>
    <row r="62" spans="1:137" s="2" customFormat="1" ht="15" hidden="1" customHeight="1">
      <c r="A62" s="3"/>
      <c r="B62" s="3"/>
      <c r="C62" s="3"/>
      <c r="D62" s="3"/>
      <c r="E62" s="3"/>
      <c r="F62" s="3"/>
      <c r="G62" s="3"/>
      <c r="H62" s="3"/>
      <c r="I62" s="3"/>
      <c r="J62" s="3"/>
      <c r="K62" s="3"/>
      <c r="L62" s="3"/>
      <c r="M62" s="8"/>
      <c r="N62" s="3"/>
      <c r="O62" s="3"/>
      <c r="P62" s="2">
        <v>2</v>
      </c>
      <c r="Q62" s="13" t="str">
        <f>IF(AND(V5=2,R48=2),"Bygningsplater",IF(AND(V5=3,R48=2),"Bygningsplater",IF(AND(V5=2,R48=3),"Fugemasser",IF(AND(V5=3,R48=3),"Maling og lakk som anvendes på stedet","-"))))</f>
        <v>-</v>
      </c>
      <c r="R62" s="3" t="b">
        <f>IF(AND(V5=2,$R$48=3,$R$60=2),TRUE,FALSE)</f>
        <v>0</v>
      </c>
      <c r="S62" s="41" t="b">
        <f>IF(AND(V5=3,$R$48=3,$R$60=2),TRUE,FALSE)</f>
        <v>0</v>
      </c>
      <c r="T62" s="3" t="b">
        <f>IF(AND(V5=2,$R$48=2,$R$52=3,$R$60=2),TRUE,FALSE)</f>
        <v>0</v>
      </c>
      <c r="U62" s="3" t="b">
        <f>IF(AND(V5=2,$R$48=2,$R$52=2,$R$60=2),TRUE,FALSE)</f>
        <v>0</v>
      </c>
      <c r="V62" s="41" t="b">
        <f>IF(AND($V$5=3,$R$48=2,$R$52=2,$R$60=2),TRUE,FALSE)</f>
        <v>0</v>
      </c>
      <c r="W62" s="7" t="str">
        <f>IF($R$62=TRUE,"fugemasser",IF($S$62=TRUE,"maling og lakk",IF(T62=TRUE,"bygningsplater",IF(U62=TRUE,"bygningsplater",IF(V62=TRUE,"bygningsplater","")))))</f>
        <v/>
      </c>
      <c r="X62" s="7" t="str">
        <f>IF($R$62=TRUE,"1.",IF($S$62=TRUE,"A1.",IF($T$62=TRUE,"1.",IF(U62=TRUE,"1.",IF(V62=TRUE,"1.","")))))</f>
        <v/>
      </c>
      <c r="Y62" s="7" t="str">
        <f>IF($R$62=TRUE,"Produktet har en emisjonstest som viser at emisjoner av TVOC er under 0,2 mg/m²h ¹⁾  ²⁾",IF($S$62=TRUE,"Grenseverdi for VOC-innhold:"&amp;"
Innendørsmaling og -lakk som anvendes på stedet og defineres som kategori a, b, d, e, g, h, i, j, k eller ifølge vedlegg I til direktiv 2004/42/EF, skal oppfylle korresponderende øvre grenseverdier for VOC-innhold som definert i vedlegg II/A",IF(T62=TRUE,"Arsen",IF(U62=TRUE,"Arsen",IF(V62=TRUE,"Arsen","")))))</f>
        <v/>
      </c>
      <c r="Z62" s="7" t="str">
        <f>IF($R$62=TRUE,"NS-EN 15251:2007 (tillegg C)",IF($S$62=TRUE,"1. EU-direktiv 2004/42/EF
2. NS-EN 15251:2007 (tillegg C)",""))</f>
        <v/>
      </c>
      <c r="AA62" s="7" t="str">
        <f>IF($S$62=TRUE,"1. ISO 11890-2:2013  – Del 2:
Gasskromatografisk metode"&amp;"
2. ISO 16000-9 (eller ISO 16000-10) sammen med ISO 16000-6 (flyktige organiske forbindelser) og
ISO 16000-3 (formaldehyd)","")</f>
        <v/>
      </c>
      <c r="AB62" s="4" t="str">
        <f>IF($R$62=TRUE,"2.",IF($S$62=TRUE,"A2.",IF(T62=TRUE,"2.",IF(U62=TRUE,"2.",IF(V62=TRUE,"2.","")))))</f>
        <v/>
      </c>
      <c r="AC62" s="4" t="str">
        <f>IF($R$62=TRUE,"Produktet har en emisjonstest som viser at emisjoner av formaldehyd er under 0,05 mg/m²h ¹⁾  ²⁾",IF($S$62=TRUE,"Grenseverdier for VOC-utslipp: 
Innendørsmaling og -lakk for vegg, gulv og himlinger som anvendes på stedet og defineres som kategori a, b, i eller j ifølge vedlegg til 2004/43/EF, skal oppfylle følgende utslippskriterier:",IF(T62=TRUE,"Bly",IF(U62=TRUE,"Bly",IF(V62=TRUE,"Bly","")))))</f>
        <v/>
      </c>
      <c r="AD62" s="4" t="str">
        <f>IF($R$62=TRUE,"NS-EN 15251:2007 (tillegg C)","")</f>
        <v/>
      </c>
      <c r="AE62" s="11"/>
      <c r="AF62" s="4" t="str">
        <f>IF($R$62=TRUE,"3.a",IF(T62=TRUE,"3.",IF(U62=TRUE,"3.",IF(V62=TRUE,"3.",""))))</f>
        <v/>
      </c>
      <c r="AG62" s="4" t="str">
        <f>IF($R$62=TRUE,"Produktet har en emisjonstest som viser at emisjoner av ammoniakk er under 0,03 mg/m²h ¹⁾  ²⁾  ³⁾",IF($S$62=TRUE,"TVOC: 200 μg/m²h etter 28 dager, 
alternativt 417 μg/m³ etter 28 dager (vegg), 
160 μg/m³ etter 28 dager (gulv og himling),",IF(T62=TRUE,"Bromerte flammehemmere (HBCDD, TBBPA)",IF(U62=TRUE,"Bromerte flammehemmere (HBCDD, TBBPA)",IF(V62=TRUE,"Bromerte flammehemmere (HBCD, TBBPA)","")))))</f>
        <v/>
      </c>
      <c r="AH62" s="4" t="str">
        <f>IF($R$62=TRUE,"NS-EN 15251:2007 (tillegg C)",IF($S$62=TRUE,"1. EU-direktiv 2004/42/EF
2. NS-EN 15251:2007 (tillegg C)",""))</f>
        <v/>
      </c>
      <c r="AI62" s="4" t="str">
        <f>IF($S$62=TRUE,"1. ISO 11890-2:2013  – Del 2:
Gasskromatografisk metode"&amp;"
2. ISO 16000-9 (eller ISO 16000-10) sammen med ISO 16000-6 (flyktige organiske forbindelser) og
ISO 16000-3 (formaldehyd)","")</f>
        <v/>
      </c>
      <c r="AJ62" s="4"/>
      <c r="AK62" s="4" t="str">
        <f>IF($R$62=TRUE,"3.b",IF(T62=TRUE,"4.",IF(U62=TRUE,"4.",IF(V62=TRUE,"4.",""))))</f>
        <v/>
      </c>
      <c r="AL62" s="4" t="str">
        <f>IF($R$62=TRUE,"Produktet har ikke en emisjonstest som måler emisjoner av ammoniakk, men undertegnede kan bekrefte:
1)   at ammoniakk ikke er sporbart aktivt i produktet, OG
2)   at produktet ikke inneholder stoffer som kan avspaltes til ammoniakk",IF(S62=TRUE,"FORMALDEHYD: 62 μg/m²h etter 3 dager eller 50 μg/m²h etter 28 dager, alternativt 50 μg/m³ etter 3 dager eller 104 μg/m³ etter 28 dager (vegg)
50 μg/m³ etter 3 dager (gulv og himling),",IF($T$62=TRUE,"Ftalater (DEHP, DBP,BBP)",IF($U$62=TRUE,"Ftalater (DEHP)",IF($V$62=TRUE,"Ftalater (DEHP)","")))))</f>
        <v/>
      </c>
      <c r="AM62" s="4" t="str">
        <f>IF($S$62=TRUE,"1. EU-direktiv 2004/42/EF
2. NS-EN 15251:2007 (tillegg C)",IF($R$62=TRUE,
"EN 717-1:2004
EN 13999-2:2007
EN 13999-3:2007
EN 13999-4:2007
EN 12149:1997",IF($R$62=TRUE,"","")))</f>
        <v/>
      </c>
      <c r="AN62" s="4" t="str">
        <f>IF($S$62=TRUE,"1. ISO 11890-2:2013  – Del 2:
Gasskromatografisk metode"&amp;"
2. ISO 16000-9 (eller ISO 16000-10) sammen med ISO 16000-6 (flyktige organiske forbindelser) og
ISO 16000-3 (formaldehyd)","")</f>
        <v/>
      </c>
      <c r="AO62" s="4" t="str">
        <f>IF($R$62=TRUE,"4.",IF(T62=TRUE,"5.",IF(U62=TRUE,"5.",IF(V62=TRUE,"5.",""))))</f>
        <v/>
      </c>
      <c r="AP62" s="4" t="str">
        <f>IF(S62=TRUE,"KREFTFREMKALLENDE: 5 μg/m²h, alternativt 10 μg/m³ (vegg)
 4 μg/m³ (gulv og himling).",IF($R$62=TRUE,"Produktet har en emisjonstest som viser at emisjoner av kreftfremkallende forbindelser (IARC) er under 0,005 mg/m²h ¹⁾  ²⁾",IF(T62=TRUE,"Krom",IF(U62=TRUE,"Krom",IF(V62=TRUE,"Krom","")))))</f>
        <v/>
      </c>
      <c r="AQ62" s="4" t="str">
        <f>IF($S$62=TRUE,"1. EU-direktiv 2004/42/EF
2. NS-EN 15251:2007 (tillegg C)",IF($R$62=TRUE,"NS-EN 15251:2007 (tillegg C)",""))</f>
        <v/>
      </c>
      <c r="AR62" s="61" t="str">
        <f>IF($S$62=TRUE,"1. ISO 11890-2:2013  – Del 2:
Gasskromatografisk metode"&amp;"
2. ISO 16000-9 (eller ISO 16000-10) sammen med ISO 16000-6 (flyktige organiske forbindelser) og
ISO 16000-3 (formaldehyd)","")</f>
        <v/>
      </c>
      <c r="AS62" s="4" t="str">
        <f>IF($S$62=TRUE,"A3.",IF($R$62=TRUE,"5.",IF(T62=TRUE,"6.",IF(U62=TRUE,"6.",IF(V62=TRUE,"6.","")))))</f>
        <v/>
      </c>
      <c r="AT62" s="4" t="str">
        <f>IF($S$62=TRUE,"Bekreftelse med teknisk datablad eller vedlikeholdsdokumentasjon på at malingen er sopp- og algebestandig for våtrom som bad, kjøkken og vaskerom",IF($R$62=TRUE,"Produktet har en emisjonstest som viser at misnøye med lukt er under 15%. 
Gjelder kun hvis relevant for produktet ¹⁾",IF(T62=TRUE,"Oktyl-/nonylfenoler",IF(U62=TRUE,"Oktyl-/nonylfenoler",IF(V62=TRUE,"Oktyl-/nonylfenol","")))))</f>
        <v/>
      </c>
      <c r="AU62" s="4" t="str">
        <f>IF($R$62=TRUE,"NS-EN 15251:2007 (tillegg C)","")</f>
        <v/>
      </c>
      <c r="AV62" s="4"/>
      <c r="AW62" s="4" t="str">
        <f>IF($R$62=TRUE,"6.",IF($T$62=TRUE,"7.",IF($U$62=TRUE,"7.","")))</f>
        <v/>
      </c>
      <c r="AX62" s="4" t="str">
        <f>IF($R$62=TRUE,"Testene i punkt 1 – 5 er utført iht. ISO 16000-serien med målinger gjort etter 28 dager",IF($T$62=TRUE,"Bisfenol A ¹⁾",IF($U$62=TRUE,"Bisfenol A ¹⁾","")))</f>
        <v/>
      </c>
      <c r="AY62" s="4" t="str">
        <f>IF($R$62=TRUE,"ISO 16000","")</f>
        <v/>
      </c>
      <c r="AZ62" s="4"/>
      <c r="BA62" s="4"/>
      <c r="BB62" s="4"/>
      <c r="BC62" s="4"/>
      <c r="BD62" s="4"/>
      <c r="BE62" s="4"/>
      <c r="BF62" s="4"/>
      <c r="BG62" s="4"/>
      <c r="BH62" s="4"/>
      <c r="BI62" s="4"/>
      <c r="BJ62" s="4"/>
      <c r="BK62" s="4"/>
      <c r="BL62" s="4"/>
      <c r="BM62" s="4" t="str">
        <f>IF(R62=TRUE,"¹⁾ Under «Vanlig stilte spørsmål» på www.ngbc.no gis hjelp til å vurdere ulike kjente emisjonssertifikater opp mot kravene i NS-EN 15251.",IF(T62=TRUE,"¹⁾ All polykarbonat inneholder bisfenol A",IF(U62=TRUE,"¹⁾ All polykarbonat inneholder bisfenol A","")))</f>
        <v/>
      </c>
      <c r="BN62" s="4" t="str">
        <f>IF(R62=TRUE,"²⁾ Merk at emisjonene her er oppgitt i mg/m²h. De fleste emisjonssertifikater oppgir emisjoner i mg/m³. Det finnes en metode for å konvertere disse slik at man kan sammenligne resultater. Deres foretrukne laboratorium kan bistå dere med dette.","")</f>
        <v/>
      </c>
      <c r="BO62" s="4" t="str">
        <f>IF(R62=TRUE,"³⁾ Merk at M1 er den eneste kjente emisjonsmerkeordningen der ammoniakk inngår som en av de emisjonene som måles.","")</f>
        <v/>
      </c>
      <c r="BP62" s="3" t="b">
        <f>OR(T62,U62)</f>
        <v>0</v>
      </c>
      <c r="BQ62" s="3"/>
      <c r="BR62" s="3"/>
      <c r="BS62" s="3"/>
      <c r="BT62" s="3"/>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row>
    <row r="63" spans="1:137" s="2" customFormat="1" ht="15" hidden="1" customHeight="1">
      <c r="A63" s="3"/>
      <c r="B63" s="3"/>
      <c r="C63" s="3"/>
      <c r="D63" s="3"/>
      <c r="E63" s="3"/>
      <c r="F63" s="3"/>
      <c r="G63" s="3"/>
      <c r="H63" s="3"/>
      <c r="I63" s="3"/>
      <c r="J63" s="3"/>
      <c r="K63" s="3"/>
      <c r="L63" s="3"/>
      <c r="M63" s="8"/>
      <c r="N63" s="3"/>
      <c r="O63" s="3"/>
      <c r="P63" s="2">
        <v>3</v>
      </c>
      <c r="Q63" s="13" t="str">
        <f>IF(AND(V5=2,R48=2),"Tapet",IF(AND(V5=2,R48=3),"Halvharde gulvbelegg, tekstile gulvbelegg og laminatgulv",IF(AND(V5=3,R48=2),"Gulvbelegg i vinyl eller PVC",IF(AND(V5=3,R48=3),"Treplater","-"))))</f>
        <v>-</v>
      </c>
      <c r="R63" s="3" t="b">
        <f>IF(AND(V5=2,$R$48=3,$R$60=3),TRUE,FALSE)</f>
        <v>0</v>
      </c>
      <c r="S63" s="41" t="b">
        <f>IF(AND(V5=3,$R$48=3,$R$60=3),TRUE,FALSE)</f>
        <v>0</v>
      </c>
      <c r="T63" s="3" t="b">
        <f>IF(AND(V5=2,$R$48=2,$R$52=3,$R$60=3),TRUE,FALSE)</f>
        <v>0</v>
      </c>
      <c r="U63" s="3" t="b">
        <f>IF(AND(V5=2,$R$48=2,$R$52=2,$R$60=3),TRUE,FALSE)</f>
        <v>0</v>
      </c>
      <c r="V63" s="41" t="b">
        <f>IF(AND($V$5=3,$R$48=2,$R$52=2,$R$60=3),TRUE,FALSE)</f>
        <v>0</v>
      </c>
      <c r="W63" s="7" t="str">
        <f>IF(R63=TRUE,"halvharde gulvbelegg, tekstile gulvbelegg og laminatgulv",IF(S63=TRUE,"treplater",IF(T63=TRUE,"tapeter",IF(U63=TRUE,"tapeter",IF(V63=TRUE,"gulvbelegg i vinyl eller PVC","")))))</f>
        <v/>
      </c>
      <c r="X63" s="7" t="str">
        <f>IF($R$63=TRUE,"1.a",IF($S$63=TRUE,"B1.",IF(T63=TRUE,"1.",IF(U63=TRUE,"1.",IF(V63=TRUE,"1.","")))))</f>
        <v/>
      </c>
      <c r="Y63" s="7" t="str">
        <f>IF($R$63=TRUE,"Produktet kan klassifiseres som E1 iht. testmetode EN 717-1:2004",IF($S$63=TRUE,"1. Formaldehyd E1-nivå
2. TVOC: 200 μg/m²h (tilsvarer 417 μg/m³ for veggprodukter), kreftfremkallende: 5 μg/m²h (tilsvarer 10 μg/m³ for veggprodukter) etter 28 dager.",IF(T63=TRUE,"Arsen",IF(U63=TRUE,"Arsen",IF(V63=TRUE,"Ftalater (DEHP)","")))))</f>
        <v/>
      </c>
      <c r="Z63" s="7" t="str">
        <f>IF($R$63=TRUE,"EN 14041:2004
EN 717-1:2004",IF($S$63=TRUE,"EN 717-1:2004, EN 717-2:1994, 
EN 120:1992 og ISO 16000-9 sammen med ISO 16000-6.",""))</f>
        <v/>
      </c>
      <c r="AA63" s="7" t="str">
        <f>IF(S63=TRUE,"Prøving og beregning i samsvar med EN 16516","")</f>
        <v/>
      </c>
      <c r="AB63" s="4" t="str">
        <f>IF($R$63=TRUE,"1.b",IF($S$63=TRUE,"B2.",IF(T63=TRUE,"2.",IF(U63=TRUE,"2.",IF(V63=TRUE,"2.","")))))</f>
        <v/>
      </c>
      <c r="AC63" s="4" t="str">
        <f>IF($R$63=TRUE,"Undertegnede kan bekrefte at produktet ikke er tilsatt noen materialer som inneholder formaldehyd under produksjon eller ved bearbeiding etter produksjonen. Disse kan klassifiseres som E1 uten prøving",IF($S$63=TRUE,"Undertegnede bekrefter fravær av regulerte treimpregneringsmidler.",IF(T63=TRUE,"Bly",IF(U63=TRUE,"Bly",IF(V63=TRUE,"Bromerte flammehemmere (HBCD, TBBPA)","")))))</f>
        <v/>
      </c>
      <c r="AD63" s="4" t="str">
        <f>IF($R$63=TRUE,"EN 14041:2004","")</f>
        <v/>
      </c>
      <c r="AE63" s="11"/>
      <c r="AF63" s="4" t="str">
        <f>IF($R$63=TRUE,"2.",IF(T63=TRUE,"3.",IF(U63=TRUE,"3.",IF(V63=TRUE,"3.",""))))</f>
        <v/>
      </c>
      <c r="AG63" s="4" t="str">
        <f>IF($R$63=TRUE,"Produktet har en emisjonstest som viser at emisjoner av TVOC er under 0,2 mg/m²h ¹⁾  ²⁾",IF(T63=TRUE,"Bromerte flammehemmere (HBCDD, TBBPA)",IF(U63=TRUE,"Bromerte flammehemmere (HBCDD, TBBPA)",IF($V$63=TRUE,"Bisfenol A",""))))</f>
        <v/>
      </c>
      <c r="AH63" s="4" t="str">
        <f>IF($R$63=TRUE,"NS-EN 15251:2007 (tillegg C)","")</f>
        <v/>
      </c>
      <c r="AI63" s="4"/>
      <c r="AJ63" s="4"/>
      <c r="AK63" s="4" t="str">
        <f>IF($R$63=TRUE,"3.",IF(T63=TRUE,"4.",IF(U63=TRUE,"4.",IF(V63=TRUE,"4.",""))))</f>
        <v/>
      </c>
      <c r="AL63" s="4" t="str">
        <f>IF($R$63=TRUE,"Produktet har ikke en emisjonstest som måler emisjoner av ammoniakk, men undertegnede kan bekrefte:
1)   at ammoniakk ikke er sporbart aktivt i produktet, OG
2)   at produktet ikke inneholder stoffer som kan avspaltes til ammoniakk",IF($T$63=TRUE,"Ftalater (DEHP, DBP, BBP)",IF($U$63=TRUE,"Ftalater (DEHP)",IF(V63=TRUE,"Bly",""))))</f>
        <v/>
      </c>
      <c r="AM63" s="4" t="str">
        <f>IF($R$63=TRUE,
"EN 717-1:2004
EN 13999-2:2007
EN 13999-3:2007
EN 13999-4:2007
EN 12149:1997",IF($R$62=TRUE,"",""))</f>
        <v/>
      </c>
      <c r="AN63" s="4"/>
      <c r="AO63" s="4" t="str">
        <f>IF($R$63=TRUE,"4.a",IF(T63=TRUE,"5.",IF(U63=TRUE,"5.",IF(V63=TRUE,"5.",""))))</f>
        <v/>
      </c>
      <c r="AP63" s="4" t="str">
        <f>IF($R$63=TRUE,"Produktet har en emisjonstest som viser at emisjoner av ammoniakk er under 0,03 mg/m²h ¹⁾  ²⁾  ³⁾",IF(T63=TRUE,"Mellomkjedede klorparafiner",IF(U63=TRUE,"Mellomkjedede klorparafiner",IF(V63=TRUE,"Mellomkjedede klorerte parafiner",""))))</f>
        <v/>
      </c>
      <c r="AQ63" s="4" t="str">
        <f>IF($R$63=TRUE,"NS-EN 15251:2007 (tillegg C)","")</f>
        <v/>
      </c>
      <c r="AR63" s="4"/>
      <c r="AS63" s="4" t="str">
        <f>IF($R$63=TRUE,"4.b",IF($V$63=TRUE,"6.",""))</f>
        <v/>
      </c>
      <c r="AT63" s="4" t="str">
        <f>IF($R$63=TRUE,"Produktet har en emisjonstest som viser at misnøye med lukt er under 15 %. 
Gjelder kun hvis relevant for produktet ¹⁾",IF($V$63=TRUE,"Arsen",""))</f>
        <v/>
      </c>
      <c r="AU63" s="4" t="str">
        <f>IF($R$63=TRUE,"NS-EN 15251:2007 (tillegg C)","")</f>
        <v/>
      </c>
      <c r="AV63" s="4"/>
      <c r="AW63" s="4" t="str">
        <f>IF($R$63=TRUE,"5.","")</f>
        <v/>
      </c>
      <c r="AX63" s="4" t="str">
        <f>IF($R$63=TRUE,"Produktet har en emisjonstest som viser at emisjoner av kreftfremkallende forbindelser (IARC) er under 0,005 mg/m²h ¹⁾  ²⁾","")</f>
        <v/>
      </c>
      <c r="AY63" s="4" t="str">
        <f>IF($R$63=TRUE,"NS-EN 15251:2007 (tillegg C)","")</f>
        <v/>
      </c>
      <c r="AZ63" s="4"/>
      <c r="BA63" s="4" t="str">
        <f>IF($R$63=TRUE,"6.","")</f>
        <v/>
      </c>
      <c r="BB63" s="4" t="str">
        <f>IF($R$63=TRUE,"Produktet har en emisjonstest som viser at emisjoner av formaldehyd er under 0,05 mg/m²h ¹⁾  ²⁾","")</f>
        <v/>
      </c>
      <c r="BC63" s="4" t="str">
        <f>IF($R$63=TRUE,"NS-EN 15251:2007 (tillegg C)","")</f>
        <v/>
      </c>
      <c r="BD63" s="4"/>
      <c r="BE63" s="4" t="str">
        <f>IF($R$63=TRUE,"7.","")</f>
        <v/>
      </c>
      <c r="BF63" s="4" t="str">
        <f>IF($R$63=TRUE,"Testene i punkt 2 – 6 er utført iht. ISO 16000-serien med målinger gjort etter 28 dager","")</f>
        <v/>
      </c>
      <c r="BG63" s="4" t="str">
        <f>IF($R$63=TRUE,"ISO 16000","")</f>
        <v/>
      </c>
      <c r="BH63" s="4"/>
      <c r="BI63" s="4" t="str">
        <f>IF($R$63=TRUE,"8.","")</f>
        <v/>
      </c>
      <c r="BJ63" s="4" t="str">
        <f>IF($R$63=TRUE,"Undertegnede kan bekrefte fravær av regulerte impregneringsmidler og at minimumsnivå er overholdt","")</f>
        <v/>
      </c>
      <c r="BK63" s="4" t="str">
        <f>IF($R$63=TRUE,"EN 14041:2004","")</f>
        <v/>
      </c>
      <c r="BL63" s="4"/>
      <c r="BM63" s="4" t="str">
        <f>IF(R63=TRUE,"¹⁾ Under «Vanlig stilte spørsmål» på www.ngbc.no gis hjelp til å vurdere ulike kjente emisjonssertifikater opp mot kravene i NS-EN 15251.","")</f>
        <v/>
      </c>
      <c r="BN63" s="4" t="str">
        <f>IF(R63=TRUE,"²⁾ Merk at emisjonene her er oppgitt i mg/m²h. De fleste emisjonssertifikater oppgir emisjoner i mg/m³. Det finnes en metode for å konvertere disse slik at man kan sammenligne resultater. Deres foretrukne laboratorium kan bistå dere med dette.","")</f>
        <v/>
      </c>
      <c r="BO63" s="4" t="str">
        <f>IF(R63=TRUE,"³⁾ Merk at M1 er den eneste kjente emisjonsmerkeordningen der ammoniakk inngår som en av de emisjonene som måles.","")</f>
        <v/>
      </c>
      <c r="BP63" s="3" t="b">
        <f>OR(T63,U63)</f>
        <v>0</v>
      </c>
      <c r="BQ63" s="3"/>
      <c r="BR63" s="3"/>
      <c r="BS63" s="3"/>
      <c r="BT63" s="3"/>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row>
    <row r="64" spans="1:137" s="2" customFormat="1" ht="15" hidden="1" customHeight="1">
      <c r="A64" s="3"/>
      <c r="B64" s="3"/>
      <c r="C64" s="3"/>
      <c r="D64" s="3"/>
      <c r="E64" s="3"/>
      <c r="F64" s="3"/>
      <c r="G64" s="3"/>
      <c r="H64" s="3"/>
      <c r="I64" s="3"/>
      <c r="J64" s="3"/>
      <c r="K64" s="3"/>
      <c r="L64" s="3"/>
      <c r="M64" s="3"/>
      <c r="N64" s="3"/>
      <c r="O64" s="3"/>
      <c r="P64" s="2">
        <v>4</v>
      </c>
      <c r="Q64" s="13" t="str">
        <f>IF(AND(V5=2,R48=2),"Tepper",IF(AND(V5=2,R48=3),"Gulvlim",IF(AND(V5=3,R48=3),"Trekonstruksjoner",IF(AND(V5=3,R48=2),"Polykarbonatplater","-"))))</f>
        <v>-</v>
      </c>
      <c r="R64" s="3" t="b">
        <f>IF(AND(V5=2,$R$48=3,$R$60=4),TRUE,FALSE)</f>
        <v>0</v>
      </c>
      <c r="S64" s="41" t="b">
        <f>IF(AND(V5=3,$R$48=3,$R$60=4),TRUE,FALSE)</f>
        <v>0</v>
      </c>
      <c r="T64" s="3" t="b">
        <f>IF(AND(V5=2,$R$48=2,$R$52=3,$R$60=4),TRUE,FALSE)</f>
        <v>0</v>
      </c>
      <c r="U64" s="3" t="b">
        <f>IF(AND(V5=2,$R$48=2,$R$52=2,$R$60=4),TRUE,FALSE)</f>
        <v>0</v>
      </c>
      <c r="V64" s="41" t="b">
        <f>IF(AND($V$5=3,$R$48=2,$R$52=2,$R$60=4),TRUE,FALSE)</f>
        <v>0</v>
      </c>
      <c r="W64" s="7" t="str">
        <f>IF(R64=TRUE,"gulvlim",IF(S64=TRUE,"trekonstruksjoner",IF(T64=TRUE,"tepper",IF(U64=TRUE,"tepper",IF(V64=TRUE,"polykarbonatplater","")))))</f>
        <v/>
      </c>
      <c r="X64" s="7" t="str">
        <f>IF($R$64=TRUE,"1.",IF($S$64=TRUE,"C1.",IF(T64=TRUE,"1.",IF(U64=TRUE,"1.",IF($V$64=TRUE,"1.","")))))</f>
        <v/>
      </c>
      <c r="Y64" s="7" t="str">
        <f>IF($R$64=TRUE,"Produktet har en emisjonstest som viser at emisjoner av TVOC er under 0,2 mg/m²h ¹⁾  ²⁾",IF($S$64=TRUE,"1. Formaldehyd E1-nivå
2. TVOC: 200 μg/m²h (tilsvarer 417 μg/m³ for veggprodukter), kreftfremkallende: 5 μg/m²h (tilsvarer 10 μg/m³ for veggprodukter) etter 28 dager.",IF(T64=TRUE,"PFOS/PFOA ¹⁾",IF(U64=TRUE,"PFOS/PFOA ¹⁾",IF($V$64=TRUE,"Bisfenol A ¹⁾","")))))</f>
        <v/>
      </c>
      <c r="Z64" s="7" t="str">
        <f>IF($R$64=TRUE,"NS-EN 15251:2007 (tillegg C)",IF($S$64=TRUE,"1. EN 717-1:2004, EN 717-2:1994, 
EN 120:1992.
2. ISO 16000-9 med ISO 16000-6.",""))</f>
        <v/>
      </c>
      <c r="AA64" s="7" t="str">
        <f>IF(S64=TRUE,"Prøving og beregning i samsvar med EN 16516","")</f>
        <v/>
      </c>
      <c r="AB64" s="4" t="str">
        <f>IF($R$64=TRUE,"2.",IF($S$64=TRUE,"C2.",""))</f>
        <v/>
      </c>
      <c r="AC64" s="4" t="str">
        <f>IF($R$64=TRUE,"Produktet har en emisjonstest som viser at emisjoner av formaldehyd er under 0,05 mg/m²h ¹⁾  ²⁾",IF($S$64=TRUE,"Undertegnede bekrefter fravær av regulerte treimpregneringsmidler.",""))</f>
        <v/>
      </c>
      <c r="AD64" s="4" t="str">
        <f>IF($R$64=TRUE,"NS-EN 15251:2007 (tillegg C)","")</f>
        <v/>
      </c>
      <c r="AE64" s="11"/>
      <c r="AF64" s="4" t="str">
        <f>IF($R$64=TRUE,"3.a","")</f>
        <v/>
      </c>
      <c r="AG64" s="4" t="str">
        <f>IF($R$64=TRUE,"Produktet har en emisjonstest som viser at emisjoner av ammoniakk er under 0,03 mg/m²h ¹⁾  ²⁾  ³⁾","")</f>
        <v/>
      </c>
      <c r="AH64" s="4" t="str">
        <f>IF($R$64=TRUE,"NS-EN 15251:2007 (tillegg C)","")</f>
        <v/>
      </c>
      <c r="AI64" s="61"/>
      <c r="AJ64" s="4"/>
      <c r="AK64" s="4" t="str">
        <f>IF($R$64=TRUE,"3.b","")</f>
        <v/>
      </c>
      <c r="AL64" s="4" t="str">
        <f>IF($R$64=TRUE,"Produktet har ikke en emisjonstest som måler emisjoner av ammoniakk, men undertegnede kan bekrefte:
1)   at ammoniakk ikke er sporbart aktivt i produktet, OG
2)   at produktet ikke inneholder stoffer som kan avspaltes til ammoniakk","")</f>
        <v/>
      </c>
      <c r="AM64" s="4" t="str">
        <f>IF($R$64=TRUE,
"EN 717-1:2004
EN 13999-2:2007
EN 13999-3:2007
EN 13999-4:2007
EN 12149:1997","")</f>
        <v/>
      </c>
      <c r="AN64" s="61"/>
      <c r="AO64" s="4" t="str">
        <f>IF($R$64=TRUE,"4.","")</f>
        <v/>
      </c>
      <c r="AP64" s="4" t="str">
        <f>IF($R$64=TRUE,"Produktet har en emisjonstest som viser at emisjoner av kreftfremkallende forbindelser (IARC) er under 0,005 mg/m²h ¹⁾  ²⁾","")</f>
        <v/>
      </c>
      <c r="AQ64" s="4" t="str">
        <f>IF($R$64=TRUE,"NS-EN 15251:2007 (tillegg C)","")</f>
        <v/>
      </c>
      <c r="AR64" s="61"/>
      <c r="AS64" s="4" t="str">
        <f>IF($R$64=TRUE,"5.","")</f>
        <v/>
      </c>
      <c r="AT64" s="4" t="str">
        <f>IF($R$64=TRUE,"Produktet har en emisjonstest som viser at misnøye med lukt er under 15 %. 
Gjelder kun hvis relevant for produktet ¹⁾","")</f>
        <v/>
      </c>
      <c r="AU64" s="4" t="str">
        <f>IF($R$64=TRUE,"NS-EN 15251:2007 (tillegg C)","")</f>
        <v/>
      </c>
      <c r="AV64" s="61"/>
      <c r="AW64" s="4" t="str">
        <f>IF($R$64=TRUE,"6.","")</f>
        <v/>
      </c>
      <c r="AX64" s="4" t="str">
        <f>IF($R$64=TRUE,"Testene i punkt 1 – 5 er utført iht. ISO 16000-serien med målinger gjort etter 28 dager","")</f>
        <v/>
      </c>
      <c r="AY64" s="4" t="str">
        <f>IF($R$64=TRUE,"ISO 16000","")</f>
        <v/>
      </c>
      <c r="AZ64" s="61"/>
      <c r="BA64" s="4" t="str">
        <f>IF($R$64=TRUE,"7.","")</f>
        <v/>
      </c>
      <c r="BB64" s="4" t="str">
        <f>IF($R$64=TRUE,"Produktet har utført tester iht. følgende standarder, og kan bekrefte fravær av kreft- og allergifremkallende stoffer:
- VOC
- Flyktige aldehyder
- Flyktige diisocyanater","")</f>
        <v/>
      </c>
      <c r="BC64" s="4" t="str">
        <f>IF($R$64=TRUE,"EN 13999-1 :2007
EN 13999-2:2007
EN 13999-3:2007
EN 13999-4:2007","")</f>
        <v/>
      </c>
      <c r="BD64" s="61"/>
      <c r="BE64" s="4"/>
      <c r="BF64" s="4"/>
      <c r="BG64" s="4"/>
      <c r="BH64" s="4"/>
      <c r="BI64" s="4"/>
      <c r="BJ64" s="4"/>
      <c r="BK64" s="4"/>
      <c r="BL64" s="4"/>
      <c r="BM64" s="4" t="str">
        <f>IF(R64=TRUE,"¹⁾ Under «Vanlig stilte spørsmål» på www.ngbc.no gis hjelp til å vurdere ulike kjente emisjonssertifikater opp mot kravene i NS-EN 15251.",IF(V64=TRUE,"¹⁾ All polykarbonat inneholder bisfenol A",""))</f>
        <v/>
      </c>
      <c r="BN64" s="4" t="str">
        <f>IF(R64=TRUE,"²⁾ Merk at emisjonene her er oppgitt i mg/m²h. De fleste emisjonssertifikater oppgir emisjoner i mg/m³. Det finnes en metode for å konvertere disse slik at man kan sammenligne resultater. Deres foretrukne laboratorium kan bistå dere med dette.","")</f>
        <v/>
      </c>
      <c r="BO64" s="4" t="str">
        <f>IF(R64=TRUE,"³⁾ Merk at M1 er den eneste kjente emisjonsmerkeordningen der ammoniakk inngår som en av de emisjonene som måles.","")</f>
        <v/>
      </c>
      <c r="BP64" s="3" t="b">
        <f t="shared" ref="BP64:BP70" si="0">OR(T64,U64)</f>
        <v>0</v>
      </c>
      <c r="BQ64" s="3"/>
      <c r="BR64" s="3"/>
      <c r="BS64" s="3"/>
      <c r="BT64" s="3"/>
      <c r="BU64" s="106"/>
      <c r="BV64" s="106"/>
      <c r="BW64" s="106"/>
      <c r="BX64" s="106"/>
      <c r="BY64" s="106"/>
      <c r="BZ64" s="106"/>
      <c r="CA64" s="106"/>
      <c r="CB64" s="106"/>
      <c r="CC64" s="106"/>
      <c r="CD64" s="106"/>
      <c r="CE64" s="106"/>
      <c r="CF64" s="106"/>
      <c r="CG64" s="106"/>
      <c r="CH64" s="106"/>
      <c r="CI64" s="106"/>
      <c r="CJ64" s="106"/>
      <c r="CK64" s="106"/>
      <c r="CL64" s="106"/>
      <c r="CM64" s="106"/>
      <c r="CN64" s="106"/>
      <c r="CO64" s="106"/>
      <c r="CP64" s="106"/>
      <c r="CQ64" s="106"/>
      <c r="CR64" s="106"/>
      <c r="CS64" s="106"/>
      <c r="CT64" s="106"/>
      <c r="CU64" s="106"/>
      <c r="CV64" s="106"/>
      <c r="CW64" s="106"/>
      <c r="CX64" s="106"/>
      <c r="CY64" s="106"/>
      <c r="CZ64" s="106"/>
      <c r="DA64" s="106"/>
      <c r="DB64" s="106"/>
      <c r="DC64" s="106"/>
      <c r="DD64" s="106"/>
      <c r="DE64" s="106"/>
      <c r="DF64" s="106"/>
      <c r="DG64" s="106"/>
      <c r="DH64" s="106"/>
      <c r="DI64" s="106"/>
      <c r="DJ64" s="106"/>
      <c r="DK64" s="106"/>
      <c r="DL64" s="106"/>
      <c r="DM64" s="106"/>
      <c r="DN64" s="106"/>
      <c r="DO64" s="106"/>
      <c r="DP64" s="106"/>
      <c r="DQ64" s="106"/>
      <c r="DR64" s="106"/>
      <c r="DS64" s="106"/>
      <c r="DT64" s="106"/>
      <c r="DU64" s="106"/>
      <c r="DV64" s="106"/>
      <c r="DW64" s="106"/>
      <c r="DX64" s="106"/>
      <c r="DY64" s="106"/>
      <c r="DZ64" s="106"/>
      <c r="EA64" s="106"/>
      <c r="EB64" s="106"/>
      <c r="EC64" s="106"/>
      <c r="ED64" s="106"/>
      <c r="EE64" s="106"/>
      <c r="EF64" s="106"/>
      <c r="EG64" s="106"/>
    </row>
    <row r="65" spans="1:137" s="2" customFormat="1" ht="15" hidden="1" customHeight="1">
      <c r="A65" s="3"/>
      <c r="B65" s="3"/>
      <c r="C65" s="3"/>
      <c r="D65" s="3"/>
      <c r="E65" s="3"/>
      <c r="F65" s="3"/>
      <c r="G65" s="3"/>
      <c r="H65" s="3"/>
      <c r="I65" s="3"/>
      <c r="J65" s="3"/>
      <c r="K65" s="3"/>
      <c r="L65" s="3"/>
      <c r="M65" s="3"/>
      <c r="N65" s="3"/>
      <c r="O65" s="5"/>
      <c r="P65" s="2">
        <v>5</v>
      </c>
      <c r="Q65" s="13" t="str">
        <f>IF(AND(V5=2,R48=2),"Trevirke",IF(AND(V5=2,R48=3),"Himlingsplater",IF(AND(V5=3,R48=3),"Tregulv og parkett",IF(AND(V5=3,R48=2),"Tapet (vinyl-/våtromstapet og glassfiberstrie)","-"))))</f>
        <v>-</v>
      </c>
      <c r="R65" s="3" t="b">
        <f>IF(AND(V5=2,$R$48=3,$R$60=5),TRUE,FALSE)</f>
        <v>0</v>
      </c>
      <c r="S65" s="41" t="b">
        <f>IF(AND(V5=3,$R$48=3,$R$60=5),TRUE,FALSE)</f>
        <v>0</v>
      </c>
      <c r="T65" s="3" t="b">
        <f>IF(AND(V5=2,$R$48=2,$R$52=3,$R$60=5),TRUE,FALSE)</f>
        <v>0</v>
      </c>
      <c r="U65" s="3" t="b">
        <f>IF(AND(V5=2,$R$48=2,$R$52=2,$R$60=5),TRUE,FALSE)</f>
        <v>0</v>
      </c>
      <c r="V65" s="41" t="b">
        <f>IF(AND($V$5=3,$R$48=2,$R$52=2,$R$60=5),TRUE,FALSE)</f>
        <v>0</v>
      </c>
      <c r="W65" s="7" t="str">
        <f>IF(R65=TRUE,"himlingsplater",IF(S65=TRUE,"tregulv og parkett",IF(T65=TRUE,"trevirke",IF(U65=TRUE,"trevirke",IF(V65=TRUE,"tapeter","")))))</f>
        <v/>
      </c>
      <c r="X65" s="7" t="str">
        <f>IF($R$65=TRUE,"1.a",IF($S$65=TRUE,"D1.",IF(T65=TRUE,"1.",IF(U65=TRUE,"1.",IF($V$65=TRUE,"1.","")))))</f>
        <v/>
      </c>
      <c r="Y65" s="7" t="str">
        <f>IF($R$65=TRUE,"Produktet kan klassifiseres som E1 iht. testmetode EN 717-1:2004",IF($S$65=TRUE,"Grenseverdier for utslipp for alle produkter unntatt ubehandlet heltregulv:",IF($T$65=TRUE,"Kreosot ¹⁾",IF($U$65=TRUE,"Kreosot (PAH) ¹⁾",IF(V65=TRUE,"Arsen","")))))</f>
        <v/>
      </c>
      <c r="Z65" s="7" t="str">
        <f>IF($R$65=TRUE,"EN 13964:2004
EN 717-1:2004","")</f>
        <v/>
      </c>
      <c r="AA65" s="7"/>
      <c r="AB65" s="4" t="str">
        <f>IF($R$65=TRUE,"1.b",IF($V$65=TRUE,"2.",""))</f>
        <v/>
      </c>
      <c r="AC65" s="4" t="str">
        <f>IF(S65=TRUE,"TVOC: 200 μg/m²h (tilsvarer 160 μg/m³) etter 28 dager,",IF($R$65=TRUE,"Undertegnede kan bekrefte at produktet ikke er tilsatt noen materialer som inneholder formaldehyd under produksjon eller ved bearbeiding etter produksjonen. Disse kan klassifiseres som E1 uten prøving",IF(V65=TRUE,"Bly","")))</f>
        <v/>
      </c>
      <c r="AD65" s="4" t="str">
        <f>IF($R$65=TRUE,"NS-EN 13964:2004",IF($S$65=TRUE,"NS-EN 15251:2007 (tillegg C)",""))</f>
        <v/>
      </c>
      <c r="AE65" s="3" t="str">
        <f>IF($S$65=TRUE,"ISO 16000-9 med ISO 16000-6 og ISO 16000-3. Prøving og beregning i samsvar med EN 16516.","")</f>
        <v/>
      </c>
      <c r="AF65" s="4" t="str">
        <f>IF($R$65=TRUE,"2.",IF($V$65=TRUE,"3.",""))</f>
        <v/>
      </c>
      <c r="AG65" s="4" t="str">
        <f>IF(S65=TRUE,"FORMALDEHYD: 62 μg/m²h (tilsvarer 50 μg/m³) etter 3 dager eller 50 μg/m²h (tilsvarer 40 μg/m³) etter 28 dager,",IF($R$65=TRUE,"Produktet har en emisjonstest som viser at emisjoner av TVOC er under 0,2 mg/m²h ¹⁾  ²⁾",IF(V65=TRUE,"Bromerte flammehemmere (HBCD, TBBPA)","")))</f>
        <v/>
      </c>
      <c r="AH65" s="4" t="str">
        <f>IF($R$65=TRUE,"NS-EN 15251:2007 (tillegg C)",IF($S$65=TRUE,"NS-EN 15251:2007 (tillegg C)",""))</f>
        <v/>
      </c>
      <c r="AI65" s="4" t="str">
        <f>IF($S$65=TRUE,"ISO 16000-9 med ISO 16000-6 og ISO 16000-3. Prøving og beregning i samsvar med EN 16516.","")</f>
        <v/>
      </c>
      <c r="AJ65" s="4"/>
      <c r="AK65" s="4" t="str">
        <f>IF($R$65=TRUE,"3.",IF($V$65=TRUE,"4.",""))</f>
        <v/>
      </c>
      <c r="AL65" s="4" t="str">
        <f>IF(S65=TRUE,"KREFTFREMKALLENDE: 5 μg/m²h (tilsvarer 4 μg/m³) etter 28 dager.",IF($R$65=TRUE,"Produktet har ikke en emisjonstest som måler emisjoner av ammoniakk, men undertegnede kan bekrefte:
1)   at ammoniakk ikke er sporbart aktivt i produktet, OG
2)   at produktet ikke inneholder stoffer som kan avspaltes til ammoniakk",IF($V$65=TRUE,"Ftalater (DEHP)","")))</f>
        <v/>
      </c>
      <c r="AM65" s="4" t="str">
        <f>IF($R$65=TRUE,
"EN 717-1:2004
EN 13999-2:2007
EN 13999-3:2007
EN 13999-4:2007
EN 12149:1997",IF($S$65=TRUE,"NS-EN 15251:2007 (tillegg C)",""))</f>
        <v/>
      </c>
      <c r="AN65" s="4" t="str">
        <f>IF($S$65=TRUE,"ISO 16000-9 med ISO 16000-6 og ISO 16000-3. Prøving og beregning i samsvar med EN 16516.","")</f>
        <v/>
      </c>
      <c r="AO65" s="4" t="str">
        <f>IF($R$65=TRUE,"4.a",IF($S$65=TRUE,"D2.",IF($V$65=TRUE,"5.","")))</f>
        <v/>
      </c>
      <c r="AP65" s="4" t="str">
        <f>IF($S$65=TRUE,"Undertegnede bekrefter fravær av regulerte treimpregneringsmidler.",IF($R$65=TRUE,"Produktet har en emisjonstest som viser at emisjoner av ammoniakk er under 0,03 mg/m²h ¹⁾  ²⁾  ³⁾",IF(V65=TRUE,"Mellomkjedede klorerte parafiner","")))</f>
        <v/>
      </c>
      <c r="AQ65" s="4" t="str">
        <f>IF($R$65=TRUE,"NS-EN 15251:2007 (tillegg C)","")</f>
        <v/>
      </c>
      <c r="AR65" s="4"/>
      <c r="AS65" s="4" t="str">
        <f>IF($R$65=TRUE,"4.b","")</f>
        <v/>
      </c>
      <c r="AT65" s="4" t="str">
        <f>IF($R$65=TRUE,"Produktet har en emisjonstest som viser at misnøye med lukt er under 15 %. 
Gjelder kun hvis relevant for produktet ¹⁾","")</f>
        <v/>
      </c>
      <c r="AU65" s="4" t="str">
        <f>IF($R$65=TRUE,"NS-EN 15251:2007 (tillegg C)","")</f>
        <v/>
      </c>
      <c r="AV65" s="4"/>
      <c r="AW65" s="4" t="str">
        <f>IF($R$65=TRUE,"5.","")</f>
        <v/>
      </c>
      <c r="AX65" s="4" t="str">
        <f>IF($R$65=TRUE,"Produktet har en emisjonstest som viser at emisjoner av kreftfremkallende forbindelser (IARC) er under 0,005 mg/m²h ¹⁾  ²⁾","")</f>
        <v/>
      </c>
      <c r="AY65" s="4" t="str">
        <f>IF($R$65=TRUE,"NS-EN 15251:2007 (tillegg C)","")</f>
        <v/>
      </c>
      <c r="AZ65" s="4"/>
      <c r="BA65" s="4" t="str">
        <f>IF($R$65=TRUE,"6.","")</f>
        <v/>
      </c>
      <c r="BB65" s="4" t="str">
        <f>IF($R$65=TRUE,"Produktet har en emisjonstest som viser at emisjoner av formaldehyd er under 0,05 mg/m²h ¹⁾  ²⁾","")</f>
        <v/>
      </c>
      <c r="BC65" s="4" t="str">
        <f>IF($R$65=TRUE,"NS-EN 15251:2007 (tillegg C)","")</f>
        <v/>
      </c>
      <c r="BD65" s="4"/>
      <c r="BE65" s="4" t="str">
        <f>IF($R$65=TRUE,"7.","")</f>
        <v/>
      </c>
      <c r="BF65" s="4" t="str">
        <f>IF($R$65=TRUE,"Testene i punkt 2 – 6 er utført iht. ISO 16000-serien med målinger gjort etter 28 dager","")</f>
        <v/>
      </c>
      <c r="BG65" s="4" t="str">
        <f>IF($R$65=TRUE,"ISO 16000","")</f>
        <v/>
      </c>
      <c r="BH65" s="4"/>
      <c r="BI65" s="4" t="str">
        <f>IF($R$65=TRUE,"8.","")</f>
        <v/>
      </c>
      <c r="BJ65" s="4" t="str">
        <f>IF($R$65=TRUE,"Undertegnede kan bekrefte at produktet ikke inneholder asbest","")</f>
        <v/>
      </c>
      <c r="BK65" s="4" t="str">
        <f>IF($R$65=TRUE,"NS-EN 13964:2004","")</f>
        <v/>
      </c>
      <c r="BL65" s="4"/>
      <c r="BM65" s="4" t="str">
        <f>IF(R65=TRUE,"¹⁾ Under «Vanlig stilte spørsmål» på www.ngbc.no gis hjelp til å vurdere ulike kjente emisjonssertifikater opp mot kravene i NS-EN 15251.",IF(T65=TRUE,"¹⁾ Arsen og krom er forbudt",IF(U65=TRUE,"¹⁾ Arsen og krom er forbudt","")))</f>
        <v/>
      </c>
      <c r="BN65" s="4" t="str">
        <f>IF(R65=TRUE,"²⁾ Merk at emisjonene her er oppgitt i mg/m²h. De fleste emisjonssertifikater oppgir emisjoner i mg/m³. Det finnes en metode for å konvertere disse slik at man kan sammenligne resultater. Deres foretrukne laboratorium kan bistå dere med dette.","")</f>
        <v/>
      </c>
      <c r="BO65" s="4" t="str">
        <f>IF(R65=TRUE,"³⁾ Merk at M1 er den eneste kjente emisjonsmerkeordningen der ammoniakk inngår som en av de emisjonene som måles.","")</f>
        <v/>
      </c>
      <c r="BP65" s="3" t="b">
        <f t="shared" si="0"/>
        <v>0</v>
      </c>
      <c r="BQ65" s="3"/>
      <c r="BR65" s="3"/>
      <c r="BS65" s="3"/>
      <c r="BT65" s="3"/>
      <c r="BU65" s="106"/>
      <c r="BV65" s="106"/>
      <c r="BW65" s="106"/>
      <c r="BX65" s="106"/>
      <c r="BY65" s="106"/>
      <c r="BZ65" s="106"/>
      <c r="CA65" s="106"/>
      <c r="CB65" s="106"/>
      <c r="CC65" s="106"/>
      <c r="CD65" s="106"/>
      <c r="CE65" s="106"/>
      <c r="CF65" s="106"/>
      <c r="CG65" s="106"/>
      <c r="CH65" s="106"/>
      <c r="CI65" s="106"/>
      <c r="CJ65" s="106"/>
      <c r="CK65" s="106"/>
      <c r="CL65" s="106"/>
      <c r="CM65" s="106"/>
      <c r="CN65" s="106"/>
      <c r="CO65" s="106"/>
      <c r="CP65" s="106"/>
      <c r="CQ65" s="106"/>
      <c r="CR65" s="106"/>
      <c r="CS65" s="106"/>
      <c r="CT65" s="106"/>
      <c r="CU65" s="106"/>
      <c r="CV65" s="106"/>
      <c r="CW65" s="106"/>
      <c r="CX65" s="106"/>
      <c r="CY65" s="106"/>
      <c r="CZ65" s="106"/>
      <c r="DA65" s="106"/>
      <c r="DB65" s="106"/>
      <c r="DC65" s="106"/>
      <c r="DD65" s="106"/>
      <c r="DE65" s="106"/>
      <c r="DF65" s="106"/>
      <c r="DG65" s="106"/>
      <c r="DH65" s="106"/>
      <c r="DI65" s="106"/>
      <c r="DJ65" s="106"/>
      <c r="DK65" s="106"/>
      <c r="DL65" s="106"/>
      <c r="DM65" s="106"/>
      <c r="DN65" s="106"/>
      <c r="DO65" s="106"/>
      <c r="DP65" s="106"/>
      <c r="DQ65" s="106"/>
      <c r="DR65" s="106"/>
      <c r="DS65" s="106"/>
      <c r="DT65" s="106"/>
      <c r="DU65" s="106"/>
      <c r="DV65" s="106"/>
      <c r="DW65" s="106"/>
      <c r="DX65" s="106"/>
      <c r="DY65" s="106"/>
      <c r="DZ65" s="106"/>
      <c r="EA65" s="106"/>
      <c r="EB65" s="106"/>
      <c r="EC65" s="106"/>
      <c r="ED65" s="106"/>
      <c r="EE65" s="106"/>
      <c r="EF65" s="106"/>
      <c r="EG65" s="106"/>
    </row>
    <row r="66" spans="1:137" s="2" customFormat="1" ht="15" hidden="1" customHeight="1">
      <c r="A66" s="3"/>
      <c r="B66" s="3"/>
      <c r="C66" s="3"/>
      <c r="D66" s="8"/>
      <c r="E66" s="8"/>
      <c r="F66" s="8"/>
      <c r="G66" s="8"/>
      <c r="H66" s="8"/>
      <c r="I66" s="3"/>
      <c r="J66" s="3"/>
      <c r="K66" s="3"/>
      <c r="L66" s="3"/>
      <c r="M66" s="8"/>
      <c r="N66" s="3"/>
      <c r="O66" s="9"/>
      <c r="P66" s="2">
        <v>6</v>
      </c>
      <c r="Q66" s="13" t="str">
        <f>IF(AND(V5=2,R48=2),"Vinduer og ytterdører",IF(AND(V5=2,R48=3),"Trekonstruksjoner",IF(AND(V5=3,R48=3),"Slitesterke tekstil- og laminatgulvbelegg",IF(AND(V5=3,R48=2),"Tepper","-"))))</f>
        <v>-</v>
      </c>
      <c r="R66" s="3" t="b">
        <f>IF(AND(V5=2,$R$48=3,$R$60=6),TRUE,FALSE)</f>
        <v>0</v>
      </c>
      <c r="S66" s="41" t="b">
        <f>IF(AND(V5=3,$R$48=3,$R$60=6),TRUE,FALSE)</f>
        <v>0</v>
      </c>
      <c r="T66" s="3" t="b">
        <f>IF(AND(V5=2,$R$48=2,$R$52=3,$R$60=6),TRUE,FALSE)</f>
        <v>0</v>
      </c>
      <c r="U66" s="3" t="b">
        <f>IF(AND(V5=2,$R$48=2,$R$52=2,$R$60=6),TRUE,FALSE)</f>
        <v>0</v>
      </c>
      <c r="V66" s="41" t="b">
        <f>IF(AND($V$5=3,$R$48=2,$R$52=2,$R$60=6),TRUE,FALSE)</f>
        <v>0</v>
      </c>
      <c r="W66" s="7" t="str">
        <f>IF(R66=TRUE,"trekonstruksjoner",IF(S66=TRUE,"slitesterke tekstil- og laminatgulvbelegg",IF(T66=TRUE,"vinduer og ytterdører",IF(U66=TRUE,"vinduer og ytterdører",IF(V66=TRUE,"tepper","")))))</f>
        <v/>
      </c>
      <c r="X66" s="7" t="str">
        <f>IF($R$66=TRUE,"1.a",IF($S$66=TRUE,"E.",IF(T66=TRUE,"1.",IF(U66=TRUE,"1.",IF($V$66=TRUE,"1.","")))))</f>
        <v/>
      </c>
      <c r="Y66" s="7" t="str">
        <f>IF($R$66=TRUE,"Produktet kan klassifiseres som E1 iht. testmetode EN 717-1:2004",IF($S$66=TRUE,"Grenseverdier for utslipp:",IF($T$66=TRUE,"PFOS/PFOA ¹⁾",IF($U$66=TRUE,"PFOS/PFOA ¹⁾",IF(V66=TRUE,"PFOS/PFOA/PFCA ¹⁾","")))))</f>
        <v/>
      </c>
      <c r="Z66" s="7"/>
      <c r="AA66" s="7"/>
      <c r="AB66" s="4" t="str">
        <f>IF($R$66=TRUE,"1.b",IF(T66=TRUE,"2.",IF(U66=TRUE,"2.",IF($V$66=TRUE,"2.",""))))</f>
        <v/>
      </c>
      <c r="AC66" s="4" t="str">
        <f>IF(S66=TRUE,"TVOC: 200 μg/m²h (tilsvarer 160 μg/m³) etter 28 dager,",IF($R$66=TRUE,"Undertegnede kan bekrefte at produktet ikke er tilsatt noen materialer som inneholder formaldehyd under produksjon eller ved bearbeiding etter produksjonen. Disse kan klassifiseres som E1 uten prøving",IF(T66=TRUE,"Bromerte flammehemmere (HBCDD, TBBPA)",IF(U66=TRUE,"Bromerte flammehemmere (HBCDD, TBBPA)",IF($V$66=TRUE,"Bly","")))))</f>
        <v/>
      </c>
      <c r="AD66" s="4" t="str">
        <f>IF($R$66=TRUE,"EN 14080:2005
EN 717-1:2004",IF($S$66=TRUE,"NS-EN 15251:2007 (tillegg C)",IF($R$66=TRUE,"NS-EN 14080:2005","")))</f>
        <v/>
      </c>
      <c r="AE66" s="3" t="str">
        <f>IF($S$66=TRUE,"ISO 16000-9 med ISO 16000-6 og ISO 16000-3. Prøving og beregning i samsvar med EN 16516.","")</f>
        <v/>
      </c>
      <c r="AF66" s="4" t="str">
        <f>IF($R$66=TRUE,"2.",IF(T66=TRUE,"3.",IF(U66=TRUE,"3.",IF($V$66=TRUE,"3.",""))))</f>
        <v/>
      </c>
      <c r="AG66" s="4" t="str">
        <f>IF(S66=TRUE,"FORMALDEHYD: 62 μg/m²h (tilsvarer 50 μg/m³) etter 3 dager eller 50 μg/m²h (tilsvarer 40 μg/m³) etter 28 dager,",IF($R$66=TRUE,"Produktet har en emisjonstest som viser at emisjoner av TVOC er under 0,2 mg/m²h ¹⁾  ²⁾",IF($T$66=TRUE,"Ftalater (DEHP, DBP, BBP)",IF($U$66=TRUE,"Ftalater (DEHP)",IF($V$66=TRUE,"Bromerte flammehemmere (HBCD, TBBPA)","")))))</f>
        <v/>
      </c>
      <c r="AH66" s="4" t="str">
        <f>IF($R$66=TRUE,"EN 14080:2005
EN 717-1:2004",IF($S$66=TRUE,"NS-EN 15251:2007 (tillegg C)",IF($R$66=TRUE,"NS-EN 15251:2007 (tillegg C)","")))</f>
        <v/>
      </c>
      <c r="AI66" s="4" t="str">
        <f>IF($S$66=TRUE,"ISO 16000-9 med ISO 16000-6 og ISO 16000-3. Prøving og beregning i samsvar med EN 16516.","")</f>
        <v/>
      </c>
      <c r="AJ66" s="4"/>
      <c r="AK66" s="4" t="str">
        <f>IF($R$66=TRUE,"3.",IF(T66=TRUE,"4.",IF(U66=TRUE,"4.",IF($V$66=TRUE,"4.",""))))</f>
        <v/>
      </c>
      <c r="AL66" s="4" t="str">
        <f>IF(S66=TRUE,"KREFTFREMKALLENDE: 5 μg/m²h (tilsvarer 4 μg/m³) etter 28 dager.",IF($R$66=TRUE,"Produktet har ikke en emisjonstest som måler emisjoner av ammoniakk, men undertegnede kan bekrefte:
1)   at ammoniakk ikke er sporbart aktivt i produktet, OG
2)   at produktet ikke inneholder stoffer som kan avspaltes til ammoniakk",IF(T66=TRUE,"Klorparafiner",IF(U66=TRUE,"Klorparafiner",IF($U$69=TRUE,"Krom",IF($V$66=TRUE,"Klorerte parafiner",""))))))</f>
        <v/>
      </c>
      <c r="AM66" s="4" t="str">
        <f>IF($R$66=TRUE,"EN 14080:2005
EN 717-1:2004",IF($S$66=TRUE,"NS-EN 15251:2007 (tillegg C)",IF($R$66=TRUE,"NS-EN 15251:2007 (tillegg C)",IF($R$66=TRUE,
"EN 717-1:2004
EN 13999-2:2007
EN 13999-3:2007
EN 13999-4:2007
EN 12149:1997",""))))</f>
        <v/>
      </c>
      <c r="AN66" s="4" t="str">
        <f>IF($S$66=TRUE,"ISO 16000-9 med ISO 16000-6 og ISO 16000-3. Prøving og beregning i samsvar med EN 16516.","")</f>
        <v/>
      </c>
      <c r="AO66" s="4" t="str">
        <f>IF($R$66=TRUE,"4.a",IF(T66=TRUE,"5.",IF(U66=TRUE,"5.",IF($V$66=TRUE,"5.",""))))</f>
        <v/>
      </c>
      <c r="AP66" s="4" t="str">
        <f>IF($R$66=TRUE,"Produktet har en emisjonstest som viser at emisjoner av ammoniakk er under 0,03 mg/m²h ¹⁾  ²⁾  ³⁾",IF(T66=TRUE,"Oktyl-/nonylfenoler",IF(U66=TRUE,"Oktyl-/nonylfenoler",IF($V$66=TRUE,"Krom",""))))</f>
        <v/>
      </c>
      <c r="AQ66" s="4" t="str">
        <f>IF($R$66=TRUE,"NS-EN 15251:2007 (tillegg C)","")</f>
        <v/>
      </c>
      <c r="AR66" s="4"/>
      <c r="AS66" s="4" t="str">
        <f>IF($R$66=TRUE,"4.b",IF(T66=TRUE,"6.",IF(U66=TRUE,"6.",IF($V$66=TRUE,"6.",""))))</f>
        <v/>
      </c>
      <c r="AT66" s="4" t="str">
        <f>IF($R$66=TRUE,"Produktet har en emisjonstest som viser at misnøye med lukt er under 15 %. 
Gjelder kun hvis relevant for produktet ¹⁾",IF(T66=TRUE,"Bisfenol A ²⁾",IF(U66=TRUE,"Bisfenol A",IF($V$66=TRUE,"Oktyl-/nonylfenoler",""))))</f>
        <v/>
      </c>
      <c r="AU66" s="4" t="str">
        <f>IF($R$66=TRUE,"NS-EN 15251:2007 (tillegg C)","")</f>
        <v/>
      </c>
      <c r="AV66" s="4"/>
      <c r="AW66" s="4" t="str">
        <f>IF($R$66=TRUE,"5.","")</f>
        <v/>
      </c>
      <c r="AX66" s="4" t="str">
        <f>IF($R$66=TRUE,"Produktet har en emisjonstest som viser at emisjoner av kreftfremkallende forbindelser (IARC) er under 0,005 mg/m²h ¹⁾  ²⁾","")</f>
        <v/>
      </c>
      <c r="AY66" s="4" t="str">
        <f>IF($R$66=TRUE,"NS-EN 15251:2007 (tillegg C)","")</f>
        <v/>
      </c>
      <c r="AZ66" s="4"/>
      <c r="BA66" s="4" t="str">
        <f>IF($R$66=TRUE,"6.","")</f>
        <v/>
      </c>
      <c r="BB66" s="4" t="str">
        <f>IF($R$66=TRUE,"Produktet har en emisjonstest som viser at emisjoner av formaldehyd er under 0,05 mg/m²h ¹⁾  ²⁾","")</f>
        <v/>
      </c>
      <c r="BC66" s="4" t="str">
        <f>IF($R$66=TRUE,"NS-EN 15251:2007 (tillegg C)","")</f>
        <v/>
      </c>
      <c r="BD66" s="4"/>
      <c r="BE66" s="4" t="str">
        <f>IF($R$66=TRUE,"7.","")</f>
        <v/>
      </c>
      <c r="BF66" s="4" t="str">
        <f>IF($R$66=TRUE,"Testene i punkt 2 – 6 er utført iht. ISO 16000-serien med målinger gjort etter 28 dager","")</f>
        <v/>
      </c>
      <c r="BG66" s="4" t="str">
        <f>IF($R$66=TRUE,"ISO 16000","")</f>
        <v/>
      </c>
      <c r="BH66" s="4"/>
      <c r="BI66" s="4"/>
      <c r="BJ66" s="4"/>
      <c r="BK66" s="4"/>
      <c r="BL66" s="4"/>
      <c r="BM66" s="4" t="str">
        <f>IF(R66=TRUE,"¹⁾ Under «Vanlig stilte spørsmål» på www.ngbc.no gis hjelp til å vurdere ulike kjente emisjonssertifikater opp mot kravene i NS-EN 15251.","")</f>
        <v/>
      </c>
      <c r="BN66" s="4" t="str">
        <f>IF(R66=TRUE,"²⁾ Merk at emisjonene her er oppgitt i mg/m²h. De fleste emisjonssertifikater oppgir emisjoner i mg/m³. Det finnes en metode for å konvertere disse slik at man kan sammenligne resultater. Deres foretrukne laboratorium kan bistå dere med dette.","")</f>
        <v/>
      </c>
      <c r="BO66" s="4" t="str">
        <f>IF(R66=TRUE,"³⁾ Merk at M1 er den eneste kjente emisjonsmerkeordningen der ammoniakk inngår som en av de emisjonene som måles.",IF(T66=TRUE,"²⁾ All polykarbonat inneholder bisfenol A",""))</f>
        <v/>
      </c>
      <c r="BP66" s="3" t="b">
        <f t="shared" si="0"/>
        <v>0</v>
      </c>
      <c r="BQ66" s="3"/>
      <c r="BR66" s="3"/>
      <c r="BS66" s="3"/>
      <c r="BT66" s="3"/>
      <c r="BU66" s="106"/>
      <c r="BV66" s="106"/>
      <c r="BW66" s="106"/>
      <c r="BX66" s="106"/>
      <c r="BY66" s="106"/>
      <c r="BZ66" s="106"/>
      <c r="CA66" s="106"/>
      <c r="CB66" s="106"/>
      <c r="CC66" s="106"/>
      <c r="CD66" s="106"/>
      <c r="CE66" s="106"/>
      <c r="CF66" s="106"/>
      <c r="CG66" s="106"/>
      <c r="CH66" s="106"/>
      <c r="CI66" s="106"/>
      <c r="CJ66" s="106"/>
      <c r="CK66" s="106"/>
      <c r="CL66" s="106"/>
      <c r="CM66" s="106"/>
      <c r="CN66" s="106"/>
      <c r="CO66" s="106"/>
      <c r="CP66" s="106"/>
      <c r="CQ66" s="106"/>
      <c r="CR66" s="106"/>
      <c r="CS66" s="106"/>
      <c r="CT66" s="106"/>
      <c r="CU66" s="106"/>
      <c r="CV66" s="106"/>
      <c r="CW66" s="106"/>
      <c r="CX66" s="106"/>
      <c r="CY66" s="106"/>
      <c r="CZ66" s="106"/>
      <c r="DA66" s="106"/>
      <c r="DB66" s="106"/>
      <c r="DC66" s="106"/>
      <c r="DD66" s="106"/>
      <c r="DE66" s="106"/>
      <c r="DF66" s="106"/>
      <c r="DG66" s="106"/>
      <c r="DH66" s="106"/>
      <c r="DI66" s="106"/>
      <c r="DJ66" s="106"/>
      <c r="DK66" s="106"/>
      <c r="DL66" s="106"/>
      <c r="DM66" s="106"/>
      <c r="DN66" s="106"/>
      <c r="DO66" s="106"/>
      <c r="DP66" s="106"/>
      <c r="DQ66" s="106"/>
      <c r="DR66" s="106"/>
      <c r="DS66" s="106"/>
      <c r="DT66" s="106"/>
      <c r="DU66" s="106"/>
      <c r="DV66" s="106"/>
      <c r="DW66" s="106"/>
      <c r="DX66" s="106"/>
      <c r="DY66" s="106"/>
      <c r="DZ66" s="106"/>
      <c r="EA66" s="106"/>
      <c r="EB66" s="106"/>
      <c r="EC66" s="106"/>
      <c r="ED66" s="106"/>
      <c r="EE66" s="106"/>
      <c r="EF66" s="106"/>
      <c r="EG66" s="106"/>
    </row>
    <row r="67" spans="1:137" s="2" customFormat="1" ht="15" hidden="1" customHeight="1">
      <c r="A67" s="3"/>
      <c r="B67" s="3"/>
      <c r="C67" s="3"/>
      <c r="D67" s="8"/>
      <c r="E67" s="8"/>
      <c r="F67" s="8"/>
      <c r="G67" s="8"/>
      <c r="H67" s="8"/>
      <c r="I67" s="3"/>
      <c r="J67" s="3"/>
      <c r="K67" s="8"/>
      <c r="L67" s="3"/>
      <c r="M67" s="3"/>
      <c r="N67" s="9"/>
      <c r="O67" s="9"/>
      <c r="P67" s="2">
        <v>7</v>
      </c>
      <c r="Q67" s="13" t="str">
        <f>IF(AND(V5=2,R48=2),"Vinyl gulvbelegg",IF(AND(V5=2,R48=3),"Maling og lakk",IF(AND(V5=3,R48=3),"Nedsenkede himlingsplater",IF(AND(V5=3,R48=2),"Trevirke behandlet med konserveringsmiddel","-"))))</f>
        <v>-</v>
      </c>
      <c r="R67" s="3" t="b">
        <f>IF(AND(V5=2,$R$48=3,$R$60=7),TRUE,FALSE)</f>
        <v>0</v>
      </c>
      <c r="S67" s="41" t="b">
        <f>IF(AND(V5=3,$R$48=3,$R$60=7),TRUE,FALSE)</f>
        <v>0</v>
      </c>
      <c r="T67" s="3" t="b">
        <f>IF(AND(V5=2,$R$48=2,$R$52=3,$R$60=7),TRUE,FALSE)</f>
        <v>0</v>
      </c>
      <c r="U67" s="3" t="b">
        <f>IF(AND(V5=2,$R$48=2,$R$52=2,$R$60=7),TRUE,FALSE)</f>
        <v>0</v>
      </c>
      <c r="V67" s="41" t="b">
        <f>IF(AND($V$5=3,$R$48=2,$R$52=2,$R$60=7),TRUE,FALSE)</f>
        <v>0</v>
      </c>
      <c r="W67" s="7" t="str">
        <f>IF(R67=TRUE,"maling og lakk",IF(S67=TRUE,"nedsenkede himlingsplater",IF(T67=TRUE,"vinyl gulvbelegg",IF(U67=TRUE,"vinyl gulvbelegg",IF(V67=TRUE,"trevirke behandlet med konserveringsmiddel","")))))</f>
        <v/>
      </c>
      <c r="X67" s="7" t="str">
        <f>IF($R$67=TRUE,"1.",IF($S$67=TRUE,"F.",IF(T67=TRUE,"1.",IF(U67=TRUE,"1.",IF($V$67=TRUE,"1.","")))))</f>
        <v/>
      </c>
      <c r="Y67" s="7" t="str">
        <f>IF($S$67=TRUE,"Grenseverdier for utslipp:",IF($R$67=TRUE,"Emisjonstestene av maling er utført iht. ISO 16000-9 eller ISO 16000-10, og emisjonene som er oppgitt er fra målinger gjort etter 3 døgn",IF(T67=TRUE,"Bly",IF(U67=TRUE,"Bly",IF($V$67=TRUE,"Kreosot","")))))</f>
        <v/>
      </c>
      <c r="Z67" s="7"/>
      <c r="AA67" s="7"/>
      <c r="AB67" s="4" t="str">
        <f>IF($R$67=TRUE,"2.",IF($T$67=TRUE,"2.",IF(U67=TRUE,"2.",IF($V$67=TRUE,"2.",""))))</f>
        <v/>
      </c>
      <c r="AC67" s="4" t="str">
        <f>IF(S67=TRUE,"TVOC: 200 μg/m²h (tilsvarer 160 μg/m³) etter 28 dager,",IF($R$67=TRUE,"Malingen/lakken tilfredsstiller VOC-direktivet: Directive 2004/42/CE",IF(T67=TRUE,"Bromerte flammehemmere (HBCD, TBBPA)",IF(U67=TRUE,"Bromerte flammehemmere (HBCD, TBBPA)",IF($V$67=TRUE,"Arsen","")))))</f>
        <v/>
      </c>
      <c r="AD67" s="4" t="str">
        <f>IF($S$67=TRUE,"NS-EN 15251:2007 (tillegg C)","")</f>
        <v/>
      </c>
      <c r="AE67" s="3" t="str">
        <f>IF($S$67=TRUE,"ISO 16000-9 med ISO 16000-6 og 
ISO 16000-3. 
Prøving og beregning i samsvar med EN 16516.","")</f>
        <v/>
      </c>
      <c r="AF67" s="4" t="str">
        <f>IF(T67=TRUE,"3.",IF(U67=TRUE,"3.",IF($V$67=TRUE,"3.","")))</f>
        <v/>
      </c>
      <c r="AG67" s="4" t="str">
        <f>IF(S67=TRUE,"FORMALDEHYD: 62 μg/m²h (tilsvarer 50 μg/m³) etter 3 dager eller 50 μg/m²h (tilsvarer 40 μg/m³) etter 28 dager,",IF($T$67=TRUE,"Ftalater (DEHP, DBP, BBP)",IF($U$67=TRUE,"Ftalater (DEHP)",IF($V$67=TRUE,"Krom",""))))</f>
        <v/>
      </c>
      <c r="AH67" s="4" t="str">
        <f>IF($S$67=TRUE,"NS-EN 15251:2007 (tillegg C)","")</f>
        <v/>
      </c>
      <c r="AI67" s="4" t="str">
        <f>IF($S$67=TRUE,"ISO 16000-9 med ISO 16000-6 og 
ISO 16000-3. 
Prøving og beregning i samsvar med EN 16516.","")</f>
        <v/>
      </c>
      <c r="AJ67" s="4"/>
      <c r="AK67" s="4" t="str">
        <f>IF(T67=TRUE,"4.",IF(U67=TRUE,"4.",""))</f>
        <v/>
      </c>
      <c r="AL67" s="4" t="str">
        <f>IF(S67=TRUE,"KREFTFREMKALLENDE: 5 μg/m²h (tilsvarer 4 μg/m³).",IF(T67=TRUE,"Bisfenol A ¹⁾",IF(U67=TRUE,"Bisfenol A","")))</f>
        <v/>
      </c>
      <c r="AM67" s="4" t="str">
        <f>IF($S$67=TRUE,"NS-EN 15251:2007 (tillegg C)","")</f>
        <v/>
      </c>
      <c r="AN67" s="4" t="str">
        <f>IF($S$67=TRUE,"ISO 16000-9 med ISO 16000-6 og 
ISO 16000-3. 
Prøving og beregning i samsvar med EN 16516.","")</f>
        <v/>
      </c>
      <c r="AO67" s="4" t="str">
        <f>IF($T$67=TRUE,"5.",IF(U67=TRUE,"5.",""))</f>
        <v/>
      </c>
      <c r="AP67" s="4" t="str">
        <f>IF(T67=TRUE,"Mellomkjedede klorparafiner ²⁾",IF(U67=TRUE,"Mellomkjedede klorparafiner ¹⁾",""))</f>
        <v/>
      </c>
      <c r="AQ67" s="4"/>
      <c r="AR67" s="4"/>
      <c r="AS67" s="4" t="str">
        <f>IF($T$67=TRUE,"6.","")</f>
        <v/>
      </c>
      <c r="AT67" s="4" t="str">
        <f>IF($T$67=TRUE,"Tris(2-kloretyl)fosfat (TCEP)","")</f>
        <v/>
      </c>
      <c r="AU67" s="4"/>
      <c r="AV67" s="4"/>
      <c r="AW67" s="4"/>
      <c r="AX67" s="4"/>
      <c r="AY67" s="4"/>
      <c r="AZ67" s="4"/>
      <c r="BA67" s="4"/>
      <c r="BB67" s="4"/>
      <c r="BC67" s="4"/>
      <c r="BD67" s="4"/>
      <c r="BE67" s="4"/>
      <c r="BF67" s="4"/>
      <c r="BG67" s="4"/>
      <c r="BH67" s="4"/>
      <c r="BI67" s="4"/>
      <c r="BJ67" s="4"/>
      <c r="BK67" s="4"/>
      <c r="BL67" s="4"/>
      <c r="BM67" s="4" t="str">
        <f>IF(T67=TRUE,"¹⁾ All polykarbonat inneholder bisfenol A",IF(U67=TRUE,"¹⁾ Kortkjedede parafiner er forbudt",""))</f>
        <v/>
      </c>
      <c r="BN67" s="4" t="str">
        <f>IF(T67=TRUE,"²⁾ Kortkjedede parafiner er forbudt","")</f>
        <v/>
      </c>
      <c r="BO67" s="4"/>
      <c r="BP67" s="3" t="b">
        <f t="shared" si="0"/>
        <v>0</v>
      </c>
      <c r="BQ67" s="3"/>
      <c r="BR67" s="3"/>
      <c r="BS67" s="3"/>
      <c r="BT67" s="3"/>
      <c r="BU67" s="106"/>
      <c r="BV67" s="106"/>
      <c r="BW67" s="106"/>
      <c r="BX67" s="106"/>
      <c r="BY67" s="106"/>
      <c r="BZ67" s="106"/>
      <c r="CA67" s="106"/>
      <c r="CB67" s="106"/>
      <c r="CC67" s="106"/>
      <c r="CD67" s="106"/>
      <c r="CE67" s="106"/>
      <c r="CF67" s="106"/>
      <c r="CG67" s="106"/>
      <c r="CH67" s="106"/>
      <c r="CI67" s="106"/>
      <c r="CJ67" s="106"/>
      <c r="CK67" s="106"/>
      <c r="CL67" s="106"/>
      <c r="CM67" s="106"/>
      <c r="CN67" s="106"/>
      <c r="CO67" s="106"/>
      <c r="CP67" s="106"/>
      <c r="CQ67" s="106"/>
      <c r="CR67" s="106"/>
      <c r="CS67" s="106"/>
      <c r="CT67" s="106"/>
      <c r="CU67" s="106"/>
      <c r="CV67" s="106"/>
      <c r="CW67" s="106"/>
      <c r="CX67" s="106"/>
      <c r="CY67" s="106"/>
      <c r="CZ67" s="106"/>
      <c r="DA67" s="106"/>
      <c r="DB67" s="106"/>
      <c r="DC67" s="106"/>
      <c r="DD67" s="106"/>
      <c r="DE67" s="106"/>
      <c r="DF67" s="106"/>
      <c r="DG67" s="106"/>
      <c r="DH67" s="106"/>
      <c r="DI67" s="106"/>
      <c r="DJ67" s="106"/>
      <c r="DK67" s="106"/>
      <c r="DL67" s="106"/>
      <c r="DM67" s="106"/>
      <c r="DN67" s="106"/>
      <c r="DO67" s="106"/>
      <c r="DP67" s="106"/>
      <c r="DQ67" s="106"/>
      <c r="DR67" s="106"/>
      <c r="DS67" s="106"/>
      <c r="DT67" s="106"/>
      <c r="DU67" s="106"/>
      <c r="DV67" s="106"/>
      <c r="DW67" s="106"/>
      <c r="DX67" s="106"/>
      <c r="DY67" s="106"/>
      <c r="DZ67" s="106"/>
      <c r="EA67" s="106"/>
      <c r="EB67" s="106"/>
      <c r="EC67" s="106"/>
      <c r="ED67" s="106"/>
      <c r="EE67" s="106"/>
      <c r="EF67" s="106"/>
      <c r="EG67" s="106"/>
    </row>
    <row r="68" spans="1:137" s="2" customFormat="1" ht="15" hidden="1" customHeight="1">
      <c r="A68" s="3"/>
      <c r="B68" s="3"/>
      <c r="C68" s="3"/>
      <c r="D68" s="8"/>
      <c r="E68" s="8"/>
      <c r="F68" s="8"/>
      <c r="G68" s="8"/>
      <c r="H68" s="8"/>
      <c r="I68" s="3"/>
      <c r="J68" s="3"/>
      <c r="K68" s="3"/>
      <c r="L68" s="3"/>
      <c r="M68" s="3"/>
      <c r="N68" s="9"/>
      <c r="O68" s="9"/>
      <c r="P68" s="2">
        <v>8</v>
      </c>
      <c r="Q68" s="13" t="str">
        <f>IF(AND(V5=2,R48=2),"XPS, EPS og cellegummi",IF(AND(V5=2,R48=3),"Tregulv og parkett",IF(AND(V5=3,R48=3),"Gulvlim",IF(AND(V5=3,R48=2),"Vinduer og ytterdører","-"))))</f>
        <v>-</v>
      </c>
      <c r="R68" s="3" t="b">
        <f>IF(AND(V5=2,$R$48=3,$R$60=8),TRUE,FALSE)</f>
        <v>0</v>
      </c>
      <c r="S68" s="41" t="b">
        <f>IF(AND(V5=3,$R$48=3,$R$60=8),TRUE,FALSE)</f>
        <v>0</v>
      </c>
      <c r="T68" s="3" t="b">
        <f>IF(AND(V5=2,$R$48=2,$R$52=3,$R$60=8),TRUE,FALSE)</f>
        <v>0</v>
      </c>
      <c r="U68" s="3" t="b">
        <f>IF(AND(V5=2,$R$48=2,$R$52=2,$R$60=8),TRUE,FALSE)</f>
        <v>0</v>
      </c>
      <c r="V68" s="41" t="b">
        <f>IF(AND($V$5=3,$R$48=2,$R$52=2,$R$60=8),TRUE,FALSE)</f>
        <v>0</v>
      </c>
      <c r="W68" s="7" t="str">
        <f>IF(R68=TRUE,"tregulv og parkett",IF(S68=TRUE,"gulvlim",IF(T68=TRUE,"XPS, EPS og cellegummi",IF(U68=TRUE,"XPS, EPS og cellegummi",IF(V68=TRUE,"vinduer og ytterdører","")))))</f>
        <v/>
      </c>
      <c r="X68" s="7" t="str">
        <f>IF($R$68=TRUE,"1.a",IF($S$68=TRUE,"G.",IF(T68=TRUE,"1.",IF(U68=TRUE,"1.",IF(V68=TRUE,"1.","")))))</f>
        <v/>
      </c>
      <c r="Y68" s="7" t="str">
        <f>IF($R$68=TRUE,"Produktet kan klassifiseres som E1 iht. testmetode EN 717-1:2004",IF($S$68=TRUE,"Grenseverdier for utslipp:",IF(T68=TRUE,"Bromerte flammehemmere HBCDD, TBBPA ¹⁾",IF(U68=TRUE,"Flammehemmere HBCDD, TBBPA ¹⁾",IF($V$68=TRUE,"PFOS/PFOA ¹⁾","")))))</f>
        <v/>
      </c>
      <c r="Z68" s="7"/>
      <c r="AA68" s="7"/>
      <c r="AB68" s="4" t="str">
        <f>IF($R$68=TRUE,"1.b",IF(V68=TRUE,"2.",""))</f>
        <v/>
      </c>
      <c r="AC68" s="4" t="str">
        <f>IF(S68=TRUE,"TVOC: 200 μg/m²h (tilsvarer 160 μg/m³) etter 28 dager,",IF($R$68=TRUE,"Undertegnede kan bekrefte at produktet ikke er tilsatt noen materialer som inneholder formaldehyd under produksjon eller ved bearbeiding etter produksjonen. Disse kan klassifiseres som E1 uten prøving",IF(V68=TRUE,"Bromerte flammehemmere (HBCD, TBBPA)","")))</f>
        <v/>
      </c>
      <c r="AD68" s="4" t="str">
        <f>IF($R$68=TRUE,"EN 14342:2005
EN 717-1:2004",IF(S68=TRUE,"ISO 16000-9 med ISO 16000-6 og 
ISO 16000-3.",""))</f>
        <v/>
      </c>
      <c r="AE68" s="3" t="str">
        <f>IF($S$68=TRUE,"Prøving og beregning skal skje i samsvar med EN 16516.","")</f>
        <v/>
      </c>
      <c r="AF68" s="4" t="str">
        <f>IF($R$68=TRUE,"2.",IF(V68=TRUE,"3.",""))</f>
        <v/>
      </c>
      <c r="AG68" s="4" t="str">
        <f>IF(S68=TRUE,"FORMALDEHYD: 62 μg/m²h (tilsvarer 50 μg/m³) etter 3 dager eller 50 μg/m²h (tilsvarer 40 μg/m³) etter 28 dager,",IF($R$68=TRUE,"Produktet har en emisjonstest som viser at emisjoner av TVOC er under 0,2 mg/m²h ¹⁾  ²⁾",IF($V$68=TRUE,"Ftalater (DEHP)","")))</f>
        <v/>
      </c>
      <c r="AH68" s="4" t="str">
        <f>IF($R$68=TRUE,"EN 14342:2005
EN 717-1:2004",IF(S68=TRUE,"ISO 16000-9 med ISO 16000-6 og 
ISO 16000-3.",IF($R$68=TRUE,"NS-EN 15251:2007 (tillegg C)","")))</f>
        <v/>
      </c>
      <c r="AI68" s="4" t="str">
        <f>IF($S$68=TRUE,"Prøving og beregning skal skje i samsvar med EN 16516.","")</f>
        <v/>
      </c>
      <c r="AJ68" s="4"/>
      <c r="AK68" s="4" t="str">
        <f>IF($R$68=TRUE,"3.",IF(V68=TRUE,"4.",""))</f>
        <v/>
      </c>
      <c r="AL68" s="4" t="str">
        <f>IF(S68=TRUE,"KREFTFREMKALLENDE: 5 μg/m²h (tilsvarer 4 μg/m³).",IF($R$68=TRUE,"Produktet har ikke en emisjonstest som måler emisjoner av ammoniakk, men undertegnede kan bekrefte:
1)   at ammoniakk ikke er sporbart aktivt i produktet, OG 
2)   at produktet ikke inneholder stoffer som kan avspaltes til ammoniakk",IF(V68=TRUE,"Klorerte parafiner","")))</f>
        <v/>
      </c>
      <c r="AM68" s="4" t="str">
        <f>IF($R$68=TRUE,"EN 14342:2005
EN 717-1:2004",IF(S68=TRUE,"ISO 16000-9 med ISO 16000-6 og 
ISO 16000-3.",IF($R$68=TRUE,
"EN 717-1:2004
EN 13999-2:2007
EN 13999-3:2007
EN 13999-4:2007
EN 12149:1997","")))</f>
        <v/>
      </c>
      <c r="AN68" s="4" t="str">
        <f>IF($S$68=TRUE,"Prøving og beregning skal skje i samsvar med EN 16516.","")</f>
        <v/>
      </c>
      <c r="AO68" s="4" t="str">
        <f>IF($R$68=TRUE,"4.a",IF(V68=TRUE,"5.",""))</f>
        <v/>
      </c>
      <c r="AP68" s="4" t="str">
        <f>IF($R$68=TRUE,"Produktet har en emisjonstest som viser at emisjoner av ammoniakk er under 0,03 mg/m²h ¹⁾  ²⁾  ³⁾",IF(V68=TRUE,"Oktyl-/nonylfenol",""))</f>
        <v/>
      </c>
      <c r="AQ68" s="4" t="str">
        <f>IF($R$68=TRUE,"NS-EN 15251:2007 (tillegg C)","")</f>
        <v/>
      </c>
      <c r="AR68" s="4"/>
      <c r="AS68" s="4" t="str">
        <f>IF($R$68=TRUE,"4.b",IF(V68=TRUE,"6.",""))</f>
        <v/>
      </c>
      <c r="AT68" s="4" t="str">
        <f>IF($R$68=TRUE,"Produktet har en emisjonstest som viser at misnøye med lukt er under 15 %. 
Gjelder kun hvis relevant for produktet ¹⁾",IF(V68=TRUE,"Bisfenol A",""))</f>
        <v/>
      </c>
      <c r="AU68" s="4" t="str">
        <f>IF($R$68=TRUE,"NS-EN 15251:2007 (tillegg C)","")</f>
        <v/>
      </c>
      <c r="AV68" s="4"/>
      <c r="AW68" s="4" t="str">
        <f>IF($R$68=TRUE,"5.",IF(V68=TRUE,"7.",""))</f>
        <v/>
      </c>
      <c r="AX68" s="4" t="str">
        <f>IF($R$68=TRUE,"Produktet har en emisjonstest som viser at emisjoner av kreftfremkallende forbindelser (IARC) er under 0,005 mg/m²h ¹⁾  ²⁾",IF($V$68=TRUE,"Bly",""))</f>
        <v/>
      </c>
      <c r="AY68" s="4" t="str">
        <f>IF($R$68=TRUE,"NS-EN 15251:2007 (tillegg C)","")</f>
        <v/>
      </c>
      <c r="AZ68" s="4"/>
      <c r="BA68" s="4" t="str">
        <f>IF($R$68=TRUE,"6.","")</f>
        <v/>
      </c>
      <c r="BB68" s="4" t="str">
        <f>IF($R$68=TRUE,"Produktet har en emisjonstest som viser at emisjoner av formaldehyd er under 0,05 mg/m²h ¹⁾  ²⁾","")</f>
        <v/>
      </c>
      <c r="BC68" s="4" t="str">
        <f>IF($R$68=TRUE,"NS-EN 15251:2007 (tillegg C)","")</f>
        <v/>
      </c>
      <c r="BD68" s="4"/>
      <c r="BE68" s="4" t="str">
        <f>IF($R$68=TRUE,"7.","")</f>
        <v/>
      </c>
      <c r="BF68" s="4" t="str">
        <f>IF($R$68=TRUE,"Testene i punkt 2 – 6 er utført iht. ISO 16000-serien med målinger gjort etter 28 dager","")</f>
        <v/>
      </c>
      <c r="BG68" s="4" t="str">
        <f>IF($R$68=TRUE,"ISO 16000","")</f>
        <v/>
      </c>
      <c r="BH68" s="4"/>
      <c r="BI68" s="4" t="str">
        <f>IF($R$68=TRUE,"8.","")</f>
        <v/>
      </c>
      <c r="BJ68" s="4" t="str">
        <f>IF($R$68=TRUE,"Undertegnede kan bekrefte fravær av regulerte treimpregneringsmidler og at minimumsnivå er overholdt","")</f>
        <v/>
      </c>
      <c r="BK68" s="4" t="str">
        <f>IF($R$68=TRUE,"NS-EN 14342:2005","")</f>
        <v/>
      </c>
      <c r="BL68" s="4"/>
      <c r="BM68" s="4" t="str">
        <f>IF(R68=TRUE,"¹⁾ Under «Vanlig stilte spørsmål» på www.ngbc.no gis hjelp til å vurdere ulike kjente emisjonssertifikater opp mot kravene i NS-EN 15251.",IF(T68=TRUE,"¹⁾ Flammehemmerne penta-, okta- og deka-BDE er forbudt",IF(U68=TRUE,"¹⁾ Flammehemmerne penta-, okta- og deka-BDE er forbudt","")))</f>
        <v/>
      </c>
      <c r="BN68" s="4" t="str">
        <f>IF(R68=TRUE,"²⁾ Merk at emisjonene her er oppgitt i mg/m²h. De fleste emisjonssertifikater oppgir emisjoner i mg/m³. Det finnes en metode for å konvertere disse slik at man kan sammenligne resultater. Deres foretrukne laboratorium kan bistå dere med dette.","")</f>
        <v/>
      </c>
      <c r="BO68" s="4" t="str">
        <f>IF(R68=TRUE,"³⁾ Merk at M1 er den eneste kjente emisjonsmerkeordningen der ammoniakk inngår som en av de emisjonene som måles.","")</f>
        <v/>
      </c>
      <c r="BP68" s="3" t="b">
        <f t="shared" si="0"/>
        <v>0</v>
      </c>
      <c r="BQ68" s="3"/>
      <c r="BR68" s="3"/>
      <c r="BS68" s="3"/>
      <c r="BT68" s="3"/>
      <c r="BU68" s="106"/>
      <c r="BV68" s="106"/>
      <c r="BW68" s="106"/>
      <c r="BX68" s="106"/>
      <c r="BY68" s="106"/>
      <c r="BZ68" s="106"/>
      <c r="CA68" s="106"/>
      <c r="CB68" s="106"/>
      <c r="CC68" s="106"/>
      <c r="CD68" s="106"/>
      <c r="CE68" s="106"/>
      <c r="CF68" s="106"/>
      <c r="CG68" s="106"/>
      <c r="CH68" s="106"/>
      <c r="CI68" s="106"/>
      <c r="CJ68" s="106"/>
      <c r="CK68" s="106"/>
      <c r="CL68" s="106"/>
      <c r="CM68" s="106"/>
      <c r="CN68" s="106"/>
      <c r="CO68" s="106"/>
      <c r="CP68" s="106"/>
      <c r="CQ68" s="106"/>
      <c r="CR68" s="106"/>
      <c r="CS68" s="106"/>
      <c r="CT68" s="106"/>
      <c r="CU68" s="106"/>
      <c r="CV68" s="106"/>
      <c r="CW68" s="106"/>
      <c r="CX68" s="106"/>
      <c r="CY68" s="106"/>
      <c r="CZ68" s="106"/>
      <c r="DA68" s="106"/>
      <c r="DB68" s="106"/>
      <c r="DC68" s="106"/>
      <c r="DD68" s="106"/>
      <c r="DE68" s="106"/>
      <c r="DF68" s="106"/>
      <c r="DG68" s="106"/>
      <c r="DH68" s="106"/>
      <c r="DI68" s="106"/>
      <c r="DJ68" s="106"/>
      <c r="DK68" s="106"/>
      <c r="DL68" s="106"/>
      <c r="DM68" s="106"/>
      <c r="DN68" s="106"/>
      <c r="DO68" s="106"/>
      <c r="DP68" s="106"/>
      <c r="DQ68" s="106"/>
      <c r="DR68" s="106"/>
      <c r="DS68" s="106"/>
      <c r="DT68" s="106"/>
      <c r="DU68" s="106"/>
      <c r="DV68" s="106"/>
      <c r="DW68" s="106"/>
      <c r="DX68" s="106"/>
      <c r="DY68" s="106"/>
      <c r="DZ68" s="106"/>
      <c r="EA68" s="106"/>
      <c r="EB68" s="106"/>
      <c r="EC68" s="106"/>
      <c r="ED68" s="106"/>
      <c r="EE68" s="106"/>
      <c r="EF68" s="106"/>
      <c r="EG68" s="106"/>
    </row>
    <row r="69" spans="1:137" s="2" customFormat="1" ht="15" hidden="1" customHeight="1">
      <c r="A69" s="3"/>
      <c r="B69" s="3"/>
      <c r="C69" s="3"/>
      <c r="D69" s="8"/>
      <c r="E69" s="8"/>
      <c r="F69" s="8"/>
      <c r="G69" s="8"/>
      <c r="H69" s="8"/>
      <c r="I69" s="3"/>
      <c r="J69" s="3"/>
      <c r="K69" s="3"/>
      <c r="L69" s="3"/>
      <c r="M69" s="3"/>
      <c r="N69" s="9"/>
      <c r="O69" s="9"/>
      <c r="P69" s="2">
        <v>9</v>
      </c>
      <c r="Q69" s="13" t="str">
        <f>IF(AND(V5=2,R48=2),"Lim",IF(AND(V5=2,R48=3),"Trebaserte plater",IF(AND(V5=3,R48=3),"Veggkledninger",IF(AND(V5=3,R48=2),"XPS, EPS og cellegummi-isolasjon","-"))))</f>
        <v>-</v>
      </c>
      <c r="R69" s="3" t="b">
        <f>IF(AND(V5=2,$R$48=3,$R$60=9),TRUE,FALSE)</f>
        <v>0</v>
      </c>
      <c r="S69" s="41" t="b">
        <f>IF(AND(V5=3,$R$48=3,$R$60=9),TRUE,FALSE)</f>
        <v>0</v>
      </c>
      <c r="T69" s="3" t="b">
        <f>IF(AND(V5=2,$R$48=2,$R$52=3,$R$60=9),TRUE,FALSE)</f>
        <v>0</v>
      </c>
      <c r="U69" s="3" t="b">
        <f>IF(AND(V5=2,$R$48=2,$R$52=2,$R$60=9),TRUE,FALSE)</f>
        <v>0</v>
      </c>
      <c r="V69" s="41" t="b">
        <f>IF(AND($V$5=3,$R$48=2,$R$52=2,$R$60=9),TRUE,FALSE)</f>
        <v>0</v>
      </c>
      <c r="W69" s="7" t="str">
        <f>IF(R69=TRUE,"trebaserte plater",IF(S69=TRUE,"veggkledninger",IF(U69=TRUE,"lim",IF(V69=TRUE,"XPS, EPS og cellegummi",""))))</f>
        <v/>
      </c>
      <c r="X69" s="7" t="str">
        <f>IF($R$69=TRUE,"1.a",IF($S$69=TRUE,"H1.",IF($T$69=TRUE,"1.",IF($U$69=TRUE,"1.",IF(V69=TRUE,"1.","")))))</f>
        <v/>
      </c>
      <c r="Y69" s="7" t="str">
        <f>IF($R$69=TRUE,"Produktet kan klassifiseres som E1 iht. testmetode EN 717-1:2004",IF($S$69=TRUE,"Grenseverdier for utslipp:",IF($T$69=TRUE,"Bisfenol A",IF($U$69=TRUE,"Bisfenol A",IF(V69=TRUE,"Bromerte flammehemmere (HBCD, TBBPA)","")))))</f>
        <v/>
      </c>
      <c r="Z69" s="7" t="str">
        <f>IF($R$69=TRUE,"EN 13986:2002
EN 717-1:2004","")</f>
        <v/>
      </c>
      <c r="AA69" s="7"/>
      <c r="AB69" s="4" t="str">
        <f>IF($R$69=TRUE,"1.b",IF($T$69=TRUE,"2.",IF($U$69=TRUE,"2.","")))</f>
        <v/>
      </c>
      <c r="AC69" s="4" t="str">
        <f>IF(S69=TRUE,"TVOC: 200 μg/m²h (tilsvarer 417 μg/m³) etter 28 dager,",IF($R$69=TRUE,"Undertegnede kan bekrefte at produktet ikke er tilsatt noen materialer som inneholder formaldehyd under produksjon eller ved bearbeiding etter produksjonen. Disse kan klassifiseres som E1 uten prøving",IF($T$69=TRUE,"Ftalatene DEHP, BBP og DBP",IF($U$69=TRUE,"Ftalatene DEHP, BBP og DBP",""))))</f>
        <v/>
      </c>
      <c r="AD69" s="4" t="str">
        <f>IF($R$69=TRUE,"NS-EN 13986:2002",IF($R$69=TRUE,"EN 13986:2002
EN 717-1:2004",IF(S69=TRUE,"NS-EN 15251: 2007 (tillegg C)
NS-EN 233:1999, punkt 5.7 "&amp;" 
NS-EN 234:1997, punkt 9.0
NS-EN 259-1:2001, punkt 4.5 – 4.7","")))</f>
        <v/>
      </c>
      <c r="AE69" s="3" t="str">
        <f>IF($S$69=TRUE,"1. ISO 16000-9, ISO 16000-6 og ISO 16000-3. Prøving og beregning i samsvar med EN 16516.
2. NS-EN 12149:1998: Test A, Test B , Test C.","")</f>
        <v/>
      </c>
      <c r="AF69" s="4" t="str">
        <f>IF($R$69=TRUE,"2.",IF($T$69=TRUE,"3.",IF($U$69=TRUE,"3.","")))</f>
        <v/>
      </c>
      <c r="AG69" s="4" t="str">
        <f>IF(S69=TRUE,"FORMALDEHYD: 62 μg/m²h (tilsvarer 50 μg/m³) etter 3 dager eller 50 μg/m²h (tilsvarer 104 μg/m³) etter 28 dager,",IF($R$69=TRUE,"Produktet har en emisjonstest som viser at emisjoner av TVOC er under 0,2 mg/m²h ¹⁾  ²⁾",IF($T$69=TRUE,"Klorparafiner",IF($U$69=TRUE,"Klorparafiner",""))))</f>
        <v/>
      </c>
      <c r="AH69" s="4" t="str">
        <f>IF($R$69=TRUE,"NS-EN 15251:2007 (tillegg C)",IF(S69=TRUE,"NS-EN 15251: 2007 (tillegg C)
NS-EN 233:1999, punkt 5.7 "&amp;" 
NS-EN 234:1997, punkt 9.0
NS-EN 259-1:2001, punkt 4.5 – 4.7",""))</f>
        <v/>
      </c>
      <c r="AI69" s="4" t="str">
        <f>IF($S$69=TRUE,"1. ISO 16000-9, ISO 16000-6 og ISO 16000-3. Prøving og beregning i samsvar med EN 16516.
2. NS-EN 12149:1998: Test A, Test B , Test C.","")</f>
        <v/>
      </c>
      <c r="AJ69" s="4"/>
      <c r="AK69" s="4" t="str">
        <f>IF($R$69=TRUE,"3.",IF($T$69=TRUE,"4.",IF($U$69=TRUE,"4.","")))</f>
        <v/>
      </c>
      <c r="AL69" s="4" t="str">
        <f>IF(S69=TRUE,"KREFTFREMKALLENDE: 5 μg/m²h (tilsvarer 10 μg/m³) etter 28 dager.",IF($R$69=TRUE,"Produktet har ikke en emisjonstest som måler emisjoner av ammoniakk, men undertegnede kan bekrefte:
1)   at ammoniakk ikke er sporbart aktivt i produktet, OG
2)   at produktet ikke inneholder stoffer som kan avspaltes til ammoniakk",IF($T$69=TRUE,"Krom","")))</f>
        <v/>
      </c>
      <c r="AM69" s="4" t="str">
        <f>IF($R$69=TRUE,
"EN 717-1:2004
EN 13999-2:2007
EN 13999-3:2007
EN 13999-4:2007
EN 12149:1997",IF(S69=TRUE,"NS-EN 15251: 2007 (tillegg C)
NS-EN 233:1999, punkt 5.7 "&amp;" 
NS-EN 234:1997, punkt 9.0
NS-EN 259-1:2001, punkt 4.5 – 4.7",""))</f>
        <v/>
      </c>
      <c r="AN69" s="4" t="str">
        <f>IF($S$69=TRUE,"1. ISO 16000-9, ISO 16000-6 og ISO 16000-3. Prøving og beregning i samsvar med EN 16516.
2. NS-EN 12149:1998: Test A, Test B , Test C.","")</f>
        <v/>
      </c>
      <c r="AO69" s="4" t="str">
        <f>IF($S$69=TRUE,"H2.",IF($R$69=TRUE,"4.a",IF($T$69=TRUE,"5.",IF($U$69=TRUE,"5.",""))))</f>
        <v/>
      </c>
      <c r="AP69" s="4" t="str">
        <f>IF(S69=TRUE,"Migrering av tungmetaller:
Antimon – ingen øvre grenseverdi, 
Arsen 25 mg/kg, Barium 500 mg/kg, 
Kadmium 25 mg/kg, Krom 60 mg/kg, Bly 90 mg/kg, 
Kvikksølv 20 mg/kg, Selen 165 mg/kg",IF($R$69=TRUE,"Produktet har en emisjonstest som viser at emisjoner av ammoniakk er under 0,03 mg/m²h ¹⁾  ²⁾  ³⁾",IF($T$69=TRUE,"Oktyl-nonylfenoler",IF($U$69=TRUE,"Oktyl-nonylfenoler",""))))</f>
        <v/>
      </c>
      <c r="AQ69" s="4" t="str">
        <f>IF($R$69=TRUE,"NS-EN 15251:2007 (tillegg C)",IF(S69=TRUE,"NS-EN 15102:2007, tabell 2, 
NS-EN 15251: 2007 (tillegg C)
NS-EN 233:1999, punkt 5.7 "&amp;" 
NS-EN 234:1997, punkt 9.0
NS-EN 259-1:2001, punkt 4.5 – 4.7",""))</f>
        <v/>
      </c>
      <c r="AR69" s="4" t="str">
        <f>IF($S$69=TRUE,"1. ISO 16000-9, ISO 16000-6 og ISO 16000-3. Prøving og beregning i samsvar med EN 16516.
2. NS-EN 12149:1998: Test A, Test B , Test C.","")</f>
        <v/>
      </c>
      <c r="AS69" s="4" t="str">
        <f>IF($R$69=TRUE,"4.b",IF($T$69=TRUE,"6.",""))</f>
        <v/>
      </c>
      <c r="AT69" s="4" t="str">
        <f>IF(S69=TRUE,"Migrering av VCM:
Vinylkloridmonomer (VCM): Pass (innhold &lt; 0,2 mg/kg),",IF($R$69=TRUE,"Produktet har en emisjonstest som viser at misnøye med lukt er under 15 %. 
Gjelder kun hvis relevant for produktet ¹⁾",IF($T$69=TRUE,"Tris(2-kloretyl)fosfat (TCEP)","")))</f>
        <v/>
      </c>
      <c r="AU69" s="4" t="str">
        <f>IF($R$69=TRUE,"NS-EN 15251:2007 (tillegg C)",IF(S69=TRUE,"NS-EN 15251: 2007 (tillegg C)
NS-EN 233:1999, punkt 5.7 "&amp;" 
NS-EN 234:1997, punkt 9.0
NS-EN 259-1:2001, punkt 4.5 – 4.7",""))</f>
        <v/>
      </c>
      <c r="AV69" s="4" t="str">
        <f>IF($S$69=TRUE,"1. ISO 16000-9, ISO 16000-6 og ISO 16000-3. Prøving og beregning i samsvar med EN 16516.
2. NS-EN 12149:1998: Test A, Test B , Test C.","")</f>
        <v/>
      </c>
      <c r="AW69" s="4" t="str">
        <f>IF($R$69=TRUE,"5.","")</f>
        <v/>
      </c>
      <c r="AX69" s="4" t="str">
        <f>IF(S69=TRUE,"Migrering av formaldehyd:
Pass (innhold &lt; 120 mg/kg),",IF($R$69=TRUE,"Produktet har en emisjonstest som viser at emisjoner av kreftfremkallende forbindelser (IARC) er under 0,005 mg/m²h ¹⁾  ²⁾",""))</f>
        <v/>
      </c>
      <c r="AY69" s="4" t="str">
        <f>IF($R$69=TRUE,"NS-EN 15251:2007 (tillegg C)",IF(S69=TRUE,"NS-EN 15251: 2007 (tillegg C)
NS-EN 233:1999, punkt 5.7 "&amp;" 
NS-EN 234:1997, punkt 9.0
NS-EN 259-1:2001, punkt 4.5 – 4.7",""))</f>
        <v/>
      </c>
      <c r="AZ69" s="4" t="str">
        <f>IF($S$69=TRUE,"1. ISO 16000-9, ISO 16000-6 og ISO 16000-3. Prøving og beregning i samsvar med EN 16516.
2. NS-EN 12149:1998: Test A, Test B , Test C.","")</f>
        <v/>
      </c>
      <c r="BA69" s="4" t="str">
        <f>IF($R$69=TRUE,"6.","")</f>
        <v/>
      </c>
      <c r="BB69" s="4" t="str">
        <f>IF($R$69=TRUE,"Produktet har en emisjonstest som viser at emisjoner av formaldehyd er under 0,05 mg/m²h ¹⁾  ²⁾","")</f>
        <v/>
      </c>
      <c r="BC69" s="4" t="str">
        <f>IF($R$69=TRUE,"NS-EN 15251:2007 (tillegg C)","")</f>
        <v/>
      </c>
      <c r="BD69" s="4"/>
      <c r="BE69" s="4" t="str">
        <f>IF($R$69=TRUE,"7.","")</f>
        <v/>
      </c>
      <c r="BF69" s="4" t="str">
        <f>IF($R$69=TRUE,"Testene i punkt 2 – 6 er utført iht. ISO 16000-serien med målinger gjort etter 28 dager","")</f>
        <v/>
      </c>
      <c r="BG69" s="4" t="str">
        <f>IF($R$69=TRUE,"ISO 16000","")</f>
        <v/>
      </c>
      <c r="BH69" s="4"/>
      <c r="BI69" s="4" t="str">
        <f>IF($R$69=TRUE,"8.","")</f>
        <v/>
      </c>
      <c r="BJ69" s="4" t="str">
        <f>IF($R$69=TRUE,"Undertegnede kan bekrefte fravær av regulerte treimpregneringsmidler og at minimumsnivå er overholdt","")</f>
        <v/>
      </c>
      <c r="BK69" s="4" t="str">
        <f>IF($R$69=TRUE,"NS-EN 13986:2002","")</f>
        <v/>
      </c>
      <c r="BL69" s="4"/>
      <c r="BM69" s="4" t="str">
        <f>IF(R69=TRUE,"¹⁾ Under «Vanlig stilte spørsmål» på www.ngbc.no gis hjelp til å vurdere ulike kjente emisjonssertifikater opp mot kravene i NS-EN 15251.","")</f>
        <v/>
      </c>
      <c r="BN69" s="4" t="str">
        <f>IF(R69=TRUE,"²⁾ Merk at emisjonene her er oppgitt i mg/m²h. De fleste emisjonssertifikater oppgir emisjoner i mg/m³. Det finnes en metode for å konvertere disse slik at man kan sammenligne resultater. Deres foretrukne laboratorium kan bistå dere med dette.","")</f>
        <v/>
      </c>
      <c r="BO69" s="4" t="str">
        <f>IF(R69=TRUE,"³⁾ Merk at M1 er den eneste kjente emisjonsmerkeordningen der ammoniakk inngår som en av de emisjonene som måles.","")</f>
        <v/>
      </c>
      <c r="BP69" s="3" t="b">
        <f>OR(T69,U69)</f>
        <v>0</v>
      </c>
      <c r="BQ69" s="3"/>
      <c r="BR69" s="3"/>
      <c r="BS69" s="3"/>
      <c r="BT69" s="3"/>
      <c r="BU69" s="106"/>
      <c r="BV69" s="106"/>
      <c r="BW69" s="106"/>
      <c r="BX69" s="106"/>
      <c r="BY69" s="106"/>
      <c r="BZ69" s="106"/>
      <c r="CA69" s="106"/>
      <c r="CB69" s="106"/>
      <c r="CC69" s="106"/>
      <c r="CD69" s="106"/>
      <c r="CE69" s="106"/>
      <c r="CF69" s="106"/>
      <c r="CG69" s="106"/>
      <c r="CH69" s="106"/>
      <c r="CI69" s="106"/>
      <c r="CJ69" s="106"/>
      <c r="CK69" s="106"/>
      <c r="CL69" s="106"/>
      <c r="CM69" s="106"/>
      <c r="CN69" s="106"/>
      <c r="CO69" s="106"/>
      <c r="CP69" s="106"/>
      <c r="CQ69" s="106"/>
      <c r="CR69" s="106"/>
      <c r="CS69" s="106"/>
      <c r="CT69" s="106"/>
      <c r="CU69" s="106"/>
      <c r="CV69" s="106"/>
      <c r="CW69" s="106"/>
      <c r="CX69" s="106"/>
      <c r="CY69" s="106"/>
      <c r="CZ69" s="106"/>
      <c r="DA69" s="106"/>
      <c r="DB69" s="106"/>
      <c r="DC69" s="106"/>
      <c r="DD69" s="106"/>
      <c r="DE69" s="106"/>
      <c r="DF69" s="106"/>
      <c r="DG69" s="106"/>
      <c r="DH69" s="106"/>
      <c r="DI69" s="106"/>
      <c r="DJ69" s="106"/>
      <c r="DK69" s="106"/>
      <c r="DL69" s="106"/>
      <c r="DM69" s="106"/>
      <c r="DN69" s="106"/>
      <c r="DO69" s="106"/>
      <c r="DP69" s="106"/>
      <c r="DQ69" s="106"/>
      <c r="DR69" s="106"/>
      <c r="DS69" s="106"/>
      <c r="DT69" s="106"/>
      <c r="DU69" s="106"/>
      <c r="DV69" s="106"/>
      <c r="DW69" s="106"/>
      <c r="DX69" s="106"/>
      <c r="DY69" s="106"/>
      <c r="DZ69" s="106"/>
      <c r="EA69" s="106"/>
      <c r="EB69" s="106"/>
      <c r="EC69" s="106"/>
      <c r="ED69" s="106"/>
      <c r="EE69" s="106"/>
      <c r="EF69" s="106"/>
      <c r="EG69" s="106"/>
    </row>
    <row r="70" spans="1:137" s="2" customFormat="1" ht="15" hidden="1" customHeight="1">
      <c r="A70" s="3"/>
      <c r="B70" s="3"/>
      <c r="C70" s="3"/>
      <c r="D70" s="8"/>
      <c r="E70" s="8"/>
      <c r="F70" s="8"/>
      <c r="G70" s="8"/>
      <c r="H70" s="8"/>
      <c r="I70" s="3"/>
      <c r="J70" s="3"/>
      <c r="K70" s="3"/>
      <c r="L70" s="3"/>
      <c r="M70" s="8"/>
      <c r="N70" s="9"/>
      <c r="O70" s="9"/>
      <c r="P70" s="2">
        <v>10</v>
      </c>
      <c r="Q70" s="13" t="str">
        <f>IF(AND(V5=2,R48=2),"Sparkel, fugemasse og -skum",IF(AND(V5=2,R48=3),"Veggkledninger",IF(AND(V5=3,R48=3),"Fugemasser",IF(AND(V5=3,R48=2),"Lim","-"))))</f>
        <v>-</v>
      </c>
      <c r="R70" s="3" t="b">
        <f>IF(AND(V5=2,$R$48=3,$R$60=10),TRUE,FALSE)</f>
        <v>0</v>
      </c>
      <c r="S70" s="41" t="b">
        <f>IF(AND(V5=3,$R$48=3,$R$60=10),TRUE,FALSE)</f>
        <v>0</v>
      </c>
      <c r="T70" s="3" t="b">
        <f>IF(AND(V5=2,$R$48=2,$R$52=3,$R$60=10),TRUE,FALSE)</f>
        <v>0</v>
      </c>
      <c r="U70" s="3" t="b">
        <f>IF(AND(V5=2,$R$48=2,$R$52=2,$R$60=10),TRUE,FALSE)</f>
        <v>0</v>
      </c>
      <c r="V70" s="41" t="b">
        <f>IF(AND($V$5=3,$R$48=2,$R$52=2,$R$60=10),TRUE,FALSE)</f>
        <v>0</v>
      </c>
      <c r="W70" s="7" t="str">
        <f>IF(R70=TRUE,"veggkledninger",IF(S70=TRUE,"fugemasser",IF(V70=TRUE,"lim","")))</f>
        <v/>
      </c>
      <c r="X70" s="7" t="str">
        <f>IF($R$70=TRUE,"1.",IF(S70=TRUE,"I.",IF($T$70=TRUE,"1.",IF($U$70=TRUE,"1.",IF(V70=TRUE,"1.","")))))</f>
        <v/>
      </c>
      <c r="Y70" s="7" t="str">
        <f>IF($R$70=TRUE,"Produktet har en emisjonstest som viser at emisjoner av TVOC er under 0,2 mg/m²h ¹⁾  ²⁾",IF($S$70=TRUE,"Grenseverdier for utslipp:",IF($T$70=TRUE,"Bisfenol A",IF($U$70=TRUE,"Bisfenol A",IF($V$70=TRUE,"Bisfenol A","")))))</f>
        <v/>
      </c>
      <c r="Z70" s="7" t="str">
        <f>IF($R$70=TRUE,"NS-EN 15251:2007 (tillegg C)","")</f>
        <v/>
      </c>
      <c r="AA70" s="7"/>
      <c r="AB70" s="4" t="str">
        <f>IF($R$70=TRUE,"2.",IF($T$70=TRUE,"2.",IF($U$70=TRUE,"2.",IF($V$70=TRUE,"2.",""))))</f>
        <v/>
      </c>
      <c r="AC70" s="4" t="str">
        <f>IF($S$70=TRUE,"TVOC: 60 μg/m³ etter 28 dager,",IF($R$70=TRUE,"Produktet har en emisjonstest som viser at emisjoner av formaldehyd er under 0,05 mg/m²h",IF($T$70=TRUE,"Ftalater (DEHP)",IF($U$70=TRUE,"Ftalatene DEHP, BBP og DBP",IF($V$70=TRUE,"Bly","")))))</f>
        <v/>
      </c>
      <c r="AD70" s="4" t="str">
        <f>IF(S70=TRUE,"NS-EN 15251:2007 (tillegg C)",IF($R$70=TRUE,"NS-EN 15251:2007 (tillegg C)",""))</f>
        <v/>
      </c>
      <c r="AE70" s="3" t="str">
        <f>IF($S$70=TRUE,"ISO 16000-9 med ISO 16000-6 og ISO 16000-3. Prøving og beregning i samsvar med EN 16516.","")</f>
        <v/>
      </c>
      <c r="AF70" s="4" t="str">
        <f>IF($R$70=TRUE,"3.a",IF($T$70=TRUE,"3.",IF($U$70=TRUE,"3.",IF($V$70=TRUE,"3.",""))))</f>
        <v/>
      </c>
      <c r="AG70" s="4" t="str">
        <f>IF(S70=TRUE,"FORMALDEHYD: 50 μg/m³ etter 3 dager eller 104 μg/m³ etter 28 dager,",IF($R$70=TRUE,"Produktet har en emisjonstest som viser at emisjoner av ammoniakk er under 0,03 mg/m²h ¹⁾  ²⁾  ³⁾",IF($T$70=TRUE,"Klorparafiner",IF($U$70=TRUE,"Klorparafiner",IF($V$70=TRUE,"Klorerte parafiner","")))))</f>
        <v/>
      </c>
      <c r="AH70" s="4" t="str">
        <f>IF(S70=TRUE,"NS-EN 15251:2007 (tillegg C)",IF($R$70=TRUE,"NS-EN 15251:2007 (tillegg C)",""))</f>
        <v/>
      </c>
      <c r="AI70" s="4" t="str">
        <f>IF($S$70=TRUE,"ISO 16000-9 med ISO 16000-6 og ISO 16000-3. Prøving og beregning i samsvar med EN 16516.","")</f>
        <v/>
      </c>
      <c r="AJ70" s="4"/>
      <c r="AK70" s="4" t="str">
        <f>IF($R$70=TRUE,"3.b",IF($T$70=TRUE,"4.",IF($U$70=TRUE,"4.",IF($V$70=TRUE,"4.",""))))</f>
        <v/>
      </c>
      <c r="AL70" s="4" t="str">
        <f>IF(S70=TRUE,"KREFTFREMKALLENDE: 1 μg/m³.",IF($R$70=TRUE,"Produktet har ikke en emisjonstest som måler emisjoner av ammoniakk, men undertegnede kan bekrefte:
1)   at ammoniakk ikke er sporbart aktivt i produktet, OG
2)   at produktet ikke inneholder stoffer som kan avspaltes til ammoniakk",IF($T$70=TRUE,"Krom",IF($U$70=TRUE,"Krom",IF($V$70=TRUE,"Krom","")))))</f>
        <v/>
      </c>
      <c r="AM70" s="4" t="str">
        <f>IF(S70=TRUE,"NS-EN 15251:2007 (tillegg C)",IF($R$70=TRUE,
"EN 717-1:2004
EN 13999-2:2007
EN 13999-3:2007
EN 13999-4:2007
EN 12149:1997",""))</f>
        <v/>
      </c>
      <c r="AN70" s="4" t="str">
        <f>IF($S$70=TRUE,"ISO 16000-9 med ISO 16000-6 og ISO 16000-3. Prøving og beregning i samsvar med EN 16516.","")</f>
        <v/>
      </c>
      <c r="AO70" s="4" t="str">
        <f>IF($R$70=TRUE,"4.",IF($T$70=TRUE,"5.",IF($U$70=TRUE,"5.",IF($V$70=TRUE,"5.",""))))</f>
        <v/>
      </c>
      <c r="AP70" s="4" t="str">
        <f>IF($R$70=TRUE,"Produktet har en emisjonstest som viser at emisjoner av kreftfremkallende forbindelser (IARC) er under 0,005 mg/m²h ¹⁾  ²⁾",IF($T$70=TRUE,"Oktyl-nonylfenoler",IF($U$70=TRUE,"Oktyl-nonylfenoler",IF($V$70=TRUE,"Oktyl-nonylfenoler",""))))</f>
        <v/>
      </c>
      <c r="AQ70" s="4" t="str">
        <f>IF($R$70=TRUE,"NS-EN 15251:2007 (tillegg C)","")</f>
        <v/>
      </c>
      <c r="AR70" s="4"/>
      <c r="AS70" s="4" t="str">
        <f>IF($R$70=TRUE,"5.",IF($T$70=TRUE,"6.",IF($U$70=TRUE,"6.",IF($V$70=TRUE,"6.",""))))</f>
        <v/>
      </c>
      <c r="AT70" s="4" t="str">
        <f>IF($R$70=TRUE,"Produktet har en emisjonstest som viser at misnøye med lukt er under 15 %. 
Gjelder kun hvis relevant for produktet ¹⁾",IF($T$70=TRUE,"Siloksan (D4 og D5)",IF($U$70=TRUE,"Siloksan (D5)",IF($V$70=TRUE,"Tris(2-kloretyl)fosfat (TCEP)",""))))</f>
        <v/>
      </c>
      <c r="AU70" s="4" t="str">
        <f>IF($R$70=TRUE,"NS-EN 15251:2007 (tillegg C)","")</f>
        <v/>
      </c>
      <c r="AV70" s="4"/>
      <c r="AW70" s="4" t="str">
        <f>IF($R$70=TRUE,"6.","")</f>
        <v/>
      </c>
      <c r="AX70" s="4" t="str">
        <f>IF($R$70=TRUE,"Testene i punkt 1 – 5 er utført iht. ISO 16000-serien med målinger gjort etter 28 dager","")</f>
        <v/>
      </c>
      <c r="AY70" s="4" t="str">
        <f>IF($R$70=TRUE,"ISO 16000","")</f>
        <v/>
      </c>
      <c r="AZ70" s="4"/>
      <c r="BA70" s="4" t="str">
        <f>IF($R$70=TRUE,"7.","")</f>
        <v/>
      </c>
      <c r="BB70" s="4" t="str">
        <f>IF($R$70=TRUE,"Utslippet av formaldehyd og VCM (vinylkloridmonomer) skal være lavt og innenfor EN-standarden for materialet","")</f>
        <v/>
      </c>
      <c r="BC70" s="4" t="str">
        <f>IF($R$70=TRUE,"EN 233:1999
EN 234:1989
EN 259:2001
EN 266:1992
EN 12149:1997","")</f>
        <v/>
      </c>
      <c r="BD70" s="4"/>
      <c r="BE70" s="4" t="str">
        <f>IF($R$70=TRUE,"8.","")</f>
        <v/>
      </c>
      <c r="BF70" s="4" t="str">
        <f>IF($R$70=TRUE,"Migrering av tungmetaller og andre giftige stoffer er innenfor EN-standarden for materialet","")</f>
        <v/>
      </c>
      <c r="BG70" s="4" t="str">
        <f>IF($R$70=TRUE,"EN 12149:1997","")</f>
        <v/>
      </c>
      <c r="BH70" s="4"/>
      <c r="BI70" s="4"/>
      <c r="BJ70" s="4"/>
      <c r="BK70" s="4"/>
      <c r="BL70" s="4"/>
      <c r="BM70" s="4" t="str">
        <f>IF(R70=TRUE,"¹⁾ Under «Vanlig stilte spørsmål» på www.ngbc.no gis hjelp til å vurdere ulike kjente emisjonssertifikater opp mot kravene i NS-EN 15251.","")</f>
        <v/>
      </c>
      <c r="BN70" s="4" t="str">
        <f>IF(R70=TRUE,"²⁾ Merk at emisjonene her er oppgitt i mg/m²h. De fleste emisjonssertifikater oppgir emisjoner i mg/m³. Det finnes en metode for å konvertere disse slik at man kan sammenligne resultater. Deres foretrukne laboratorium kan bistå dere med dette.","")</f>
        <v/>
      </c>
      <c r="BO70" s="4" t="str">
        <f>IF(R70=TRUE,"³⁾ Merk at M1 er den eneste kjente emisjonsmerkeordningen der ammoniakk inngår som en av de emisjonene som måles.","")</f>
        <v/>
      </c>
      <c r="BP70" s="3" t="b">
        <f t="shared" si="0"/>
        <v>0</v>
      </c>
      <c r="BQ70" s="3"/>
      <c r="BR70" s="3"/>
      <c r="BS70" s="3"/>
      <c r="BT70" s="3"/>
      <c r="BU70" s="106"/>
      <c r="BV70" s="106"/>
      <c r="BW70" s="106"/>
      <c r="BX70" s="106"/>
      <c r="BY70" s="106"/>
      <c r="BZ70" s="106"/>
      <c r="CA70" s="106"/>
      <c r="CB70" s="106"/>
      <c r="CC70" s="106"/>
      <c r="CD70" s="106"/>
      <c r="CE70" s="106"/>
      <c r="CF70" s="106"/>
      <c r="CG70" s="106"/>
      <c r="CH70" s="106"/>
      <c r="CI70" s="106"/>
      <c r="CJ70" s="106"/>
      <c r="CK70" s="106"/>
      <c r="CL70" s="106"/>
      <c r="CM70" s="106"/>
      <c r="CN70" s="106"/>
      <c r="CO70" s="106"/>
      <c r="CP70" s="106"/>
      <c r="CQ70" s="106"/>
      <c r="CR70" s="106"/>
      <c r="CS70" s="106"/>
      <c r="CT70" s="106"/>
      <c r="CU70" s="106"/>
      <c r="CV70" s="106"/>
      <c r="CW70" s="106"/>
      <c r="CX70" s="106"/>
      <c r="CY70" s="106"/>
      <c r="CZ70" s="106"/>
      <c r="DA70" s="106"/>
      <c r="DB70" s="106"/>
      <c r="DC70" s="106"/>
      <c r="DD70" s="106"/>
      <c r="DE70" s="106"/>
      <c r="DF70" s="106"/>
      <c r="DG70" s="106"/>
      <c r="DH70" s="106"/>
      <c r="DI70" s="106"/>
      <c r="DJ70" s="106"/>
      <c r="DK70" s="106"/>
      <c r="DL70" s="106"/>
      <c r="DM70" s="106"/>
      <c r="DN70" s="106"/>
      <c r="DO70" s="106"/>
      <c r="DP70" s="106"/>
      <c r="DQ70" s="106"/>
      <c r="DR70" s="106"/>
      <c r="DS70" s="106"/>
      <c r="DT70" s="106"/>
      <c r="DU70" s="106"/>
      <c r="DV70" s="106"/>
      <c r="DW70" s="106"/>
      <c r="DX70" s="106"/>
      <c r="DY70" s="106"/>
      <c r="DZ70" s="106"/>
      <c r="EA70" s="106"/>
      <c r="EB70" s="106"/>
      <c r="EC70" s="106"/>
      <c r="ED70" s="106"/>
      <c r="EE70" s="106"/>
      <c r="EF70" s="106"/>
      <c r="EG70" s="106"/>
    </row>
    <row r="71" spans="1:137" s="2" customFormat="1" ht="15" hidden="1" customHeight="1">
      <c r="A71" s="3"/>
      <c r="B71" s="3"/>
      <c r="C71" s="3"/>
      <c r="D71" s="8"/>
      <c r="E71" s="8"/>
      <c r="F71" s="8"/>
      <c r="G71" s="8"/>
      <c r="H71" s="8"/>
      <c r="I71" s="3"/>
      <c r="J71" s="3"/>
      <c r="K71" s="3"/>
      <c r="L71" s="3"/>
      <c r="M71" s="3"/>
      <c r="N71" s="9"/>
      <c r="O71" s="9"/>
      <c r="P71" s="2">
        <v>11</v>
      </c>
      <c r="Q71" s="13" t="str">
        <f>IF(AND(V5=2,R48=2),"Maling, beis og lakk",IF(AND(V5=3,R48=3),"Gulvprodukter",IF(AND(V5=3,R48=2),"Sparkel, fugemasse og -skum","-")))</f>
        <v>-</v>
      </c>
      <c r="R71" s="3" t="b">
        <f>IF(AND(V5=2,$R$48=3,$R$60=11),TRUE,FALSE)</f>
        <v>0</v>
      </c>
      <c r="S71" s="41" t="b">
        <f>IF(AND($V$5=3,$R$48=3,$R$60=11),TRUE,FALSE)</f>
        <v>0</v>
      </c>
      <c r="T71" s="3" t="b">
        <f>IF(AND(V5=2,$R$48=2,$R$52=3,$R$60=11),TRUE,FALSE)</f>
        <v>0</v>
      </c>
      <c r="U71" s="3" t="b">
        <f>IF(AND(V5=2,$R$48=2,$R$52=2,$R$60=11),TRUE,FALSE)</f>
        <v>0</v>
      </c>
      <c r="V71" s="41" t="b">
        <f>IF(AND($V$5=3,$R$48=2,$R$52=2,$R$60=11),TRUE,FALSE)</f>
        <v>0</v>
      </c>
      <c r="W71" s="7" t="str">
        <f>IF(S71=TRUE,"gulvprodukter",IF(T71=TRUE,"maling, beis og lakk",IF(U71=TRUE,"maling, beis og lakk",IF(V71=TRUE,"sparkel, fugemasse og -skum",""))))</f>
        <v/>
      </c>
      <c r="X71" s="7" t="str">
        <f>IF(S71=TRUE,"J.",IF($T$71=TRUE,"1.",IF($U$71=TRUE,"1.",IF(V71=TRUE,"1.",""))))</f>
        <v/>
      </c>
      <c r="Y71" s="7" t="str">
        <f>IF($T$71=TRUE,"Bisfenol A",IF($U$71=TRUE,"Bisfenol A",IF($S$71=TRUE,"Grenseverdier for utslipp for alle produkter:",IF($V$71=TRUE,"Bisfenol A",""))))</f>
        <v/>
      </c>
      <c r="Z71" s="7"/>
      <c r="AA71" s="7"/>
      <c r="AB71" s="4" t="str">
        <f>IF($T$71=TRUE,"2.",IF($U$71=TRUE,"2.",IF(V71=TRUE,"2.","")))</f>
        <v/>
      </c>
      <c r="AC71" s="4" t="str">
        <f>IF(S71=TRUE,"TVOC: 200 μg/m²h (160 μg/m³) etter 28 dager,",IF($T$71=TRUE,"Ftalat DEHP",IF($U$71=TRUE,"Ftalatene DEHP, BBP og DBP",IF($V$71=TRUE,"Ftalater (DEHP)",""))))</f>
        <v/>
      </c>
      <c r="AD71" s="4" t="str">
        <f>IF($S$71=TRUE,"NS-EN 15251:2007 (tillegg C)","")</f>
        <v/>
      </c>
      <c r="AE71" s="3" t="str">
        <f>IF($S$71=TRUE,"ISO 16000-9 med ISO 16000-6 og ISO 16000-3. Prøving og beregning i samsvar med EN 16516.","")</f>
        <v/>
      </c>
      <c r="AF71" s="4" t="str">
        <f>IF($T$71=TRUE,"3.",IF($U$71=TRUE,"3.",IF(V71=TRUE,"3.","")))</f>
        <v/>
      </c>
      <c r="AG71" s="4" t="str">
        <f>IF(S71=TRUE,"FORMALDEHYD: 62 μg/m²h (50 μg/m³) etter 3 dager eller 50 μg/m²h (40 μg/m³) etter 28 dager,",IF($T$71=TRUE,"Klorparafiner",IF($U$71=TRUE,"Klorparafiner",IF($V$71=TRUE,"Klorerte parafiner",""))))</f>
        <v/>
      </c>
      <c r="AH71" s="4" t="str">
        <f>IF($S$71=TRUE,"NS-EN 15251:2007 (tillegg C)","")</f>
        <v/>
      </c>
      <c r="AI71" s="4" t="str">
        <f>IF($S$71=TRUE,"ISO 16000-9 med ISO 16000-6 og ISO 16000-3. Prøving og beregning i samsvar med EN 16516.","")</f>
        <v/>
      </c>
      <c r="AJ71" s="4"/>
      <c r="AK71" s="4" t="str">
        <f>IF($T$71=TRUE,"4.",IF($U$71=TRUE,"4.",IF(V71=TRUE,"4.","")))</f>
        <v/>
      </c>
      <c r="AL71" s="4" t="str">
        <f>IF(S71=TRUE,"KREFTFREMKALLENDE: 5 μg/m² h (4 μg/m³).",IF($T$71=TRUE,"Krom",IF($U$71=TRUE,"Krom",IF($V$71=TRUE,"Krom",""))))</f>
        <v/>
      </c>
      <c r="AM71" s="4" t="str">
        <f>IF($S$71=TRUE,"NS-EN 15251:2007 (tillegg C)","")</f>
        <v/>
      </c>
      <c r="AN71" s="4" t="str">
        <f>IF($S$71=TRUE,"ISO 16000-9 med ISO 16000-6 og ISO 16000-3. Prøving og beregning i samsvar med EN 16516.","")</f>
        <v/>
      </c>
      <c r="AO71" s="4" t="str">
        <f>IF($T$71=TRUE,"5.",IF($U$71=TRUE,"5.",IF(V71=TRUE,"5.","")))</f>
        <v/>
      </c>
      <c r="AP71" s="4" t="str">
        <f>IF($T$71=TRUE,"Oktyl-nonylfenoler",IF($U$71=TRUE,"Oktyl-nonylfenoler",IF($V$71=TRUE,"Oktyl-nonylfenol","")))</f>
        <v/>
      </c>
      <c r="AQ71" s="4"/>
      <c r="AR71" s="4"/>
      <c r="AS71" s="4" t="str">
        <f>IF($T$71=TRUE,"6.",IF($U$71=TRUE,"6.",IF(V71=TRUE,"6.","")))</f>
        <v/>
      </c>
      <c r="AT71" s="4" t="str">
        <f>IF($T$71=TRUE,"Siloksan (D4 og D5)",IF($U$71=TRUE,"Siloksan (D5)",IF($V$71=TRUE,"Siloksan (D4/D5)","")))</f>
        <v/>
      </c>
      <c r="AU71" s="4"/>
      <c r="AV71" s="4"/>
      <c r="AW71" s="4" t="str">
        <f>IF($T$71=TRUE,"7.",IF($U$71=TRUE,"7.",""))</f>
        <v/>
      </c>
      <c r="AX71" s="4" t="str">
        <f>IF($T$71=TRUE,"Kadmium ¹⁾",IF($U$71=TRUE,"Kadmium ¹⁾",""))</f>
        <v/>
      </c>
      <c r="AY71" s="4"/>
      <c r="AZ71" s="4"/>
      <c r="BA71" s="4" t="str">
        <f>IF($T$71=TRUE,"8.",IF($U$71=TRUE,"8.",""))</f>
        <v/>
      </c>
      <c r="BB71" s="4" t="str">
        <f>IF($T$71=TRUE,"Bly",IF($U$71=TRUE,"Bly",""))</f>
        <v/>
      </c>
      <c r="BC71" s="4"/>
      <c r="BD71" s="4"/>
      <c r="BE71" s="4" t="str">
        <f>IF($T$71=TRUE,"9.","")</f>
        <v/>
      </c>
      <c r="BF71" s="4" t="str">
        <f>IF($T$71=TRUE,"Tris(2-kloretyl)fosfat (TCEP)","")</f>
        <v/>
      </c>
      <c r="BG71" s="4"/>
      <c r="BH71" s="4"/>
      <c r="BI71" s="4"/>
      <c r="BJ71" s="4"/>
      <c r="BK71" s="4"/>
      <c r="BL71" s="4"/>
      <c r="BM71" s="4"/>
      <c r="BN71" s="4"/>
      <c r="BO71" s="4"/>
      <c r="BP71" s="3" t="b">
        <f>OR(T71,U71)</f>
        <v>0</v>
      </c>
      <c r="BQ71" s="3"/>
      <c r="BR71" s="3"/>
      <c r="BS71" s="3"/>
      <c r="BT71" s="3"/>
      <c r="BU71" s="106"/>
      <c r="BV71" s="106"/>
      <c r="BW71" s="106"/>
      <c r="BX71" s="106"/>
      <c r="BY71" s="106"/>
      <c r="BZ71" s="106"/>
      <c r="CA71" s="106"/>
      <c r="CB71" s="106"/>
      <c r="CC71" s="106"/>
      <c r="CD71" s="106"/>
      <c r="CE71" s="106"/>
      <c r="CF71" s="106"/>
      <c r="CG71" s="106"/>
      <c r="CH71" s="106"/>
      <c r="CI71" s="106"/>
      <c r="CJ71" s="106"/>
      <c r="CK71" s="106"/>
      <c r="CL71" s="106"/>
      <c r="CM71" s="106"/>
      <c r="CN71" s="106"/>
      <c r="CO71" s="106"/>
      <c r="CP71" s="106"/>
      <c r="CQ71" s="106"/>
      <c r="CR71" s="106"/>
      <c r="CS71" s="106"/>
      <c r="CT71" s="106"/>
      <c r="CU71" s="106"/>
      <c r="CV71" s="106"/>
      <c r="CW71" s="106"/>
      <c r="CX71" s="106"/>
      <c r="CY71" s="106"/>
      <c r="CZ71" s="106"/>
      <c r="DA71" s="106"/>
      <c r="DB71" s="106"/>
      <c r="DC71" s="106"/>
      <c r="DD71" s="106"/>
      <c r="DE71" s="106"/>
      <c r="DF71" s="106"/>
      <c r="DG71" s="106"/>
      <c r="DH71" s="106"/>
      <c r="DI71" s="106"/>
      <c r="DJ71" s="106"/>
      <c r="DK71" s="106"/>
      <c r="DL71" s="106"/>
      <c r="DM71" s="106"/>
      <c r="DN71" s="106"/>
      <c r="DO71" s="106"/>
      <c r="DP71" s="106"/>
      <c r="DQ71" s="106"/>
      <c r="DR71" s="106"/>
      <c r="DS71" s="106"/>
      <c r="DT71" s="106"/>
      <c r="DU71" s="106"/>
      <c r="DV71" s="106"/>
      <c r="DW71" s="106"/>
      <c r="DX71" s="106"/>
      <c r="DY71" s="106"/>
      <c r="DZ71" s="106"/>
      <c r="EA71" s="106"/>
      <c r="EB71" s="106"/>
      <c r="EC71" s="106"/>
      <c r="ED71" s="106"/>
      <c r="EE71" s="106"/>
      <c r="EF71" s="106"/>
      <c r="EG71" s="106"/>
    </row>
    <row r="72" spans="1:137" s="2" customFormat="1" ht="15" hidden="1" customHeight="1">
      <c r="A72" s="3"/>
      <c r="B72" s="3"/>
      <c r="C72" s="3"/>
      <c r="D72" s="8"/>
      <c r="E72" s="8"/>
      <c r="F72" s="8"/>
      <c r="G72" s="8"/>
      <c r="H72" s="8"/>
      <c r="I72" s="8"/>
      <c r="J72" s="8"/>
      <c r="K72" s="3"/>
      <c r="L72" s="8"/>
      <c r="M72" s="8"/>
      <c r="N72" s="9"/>
      <c r="O72" s="9"/>
      <c r="P72" s="2">
        <v>12</v>
      </c>
      <c r="Q72" s="13" t="str">
        <f>IF(AND(V5=3,R48=2),"Maling, beis og lakk","-")</f>
        <v>-</v>
      </c>
      <c r="R72" s="3" t="b">
        <f>IF(R67=TRUE,FALSE,OR(R62:R70))</f>
        <v>0</v>
      </c>
      <c r="T72" s="3"/>
      <c r="U72" s="3"/>
      <c r="V72" s="41" t="b">
        <f>IF(AND($V$5=3,$R$48=2,$R$52=2,$R$60=12),TRUE,FALSE)</f>
        <v>0</v>
      </c>
      <c r="W72" s="7" t="str">
        <f>IF(V72=TRUE,"maling, beis og lakk","")</f>
        <v/>
      </c>
      <c r="X72" s="7" t="str">
        <f>IF(V72=TRUE,"1.","")</f>
        <v/>
      </c>
      <c r="Y72" s="7" t="str">
        <f>IF($V$72=TRUE,"Bisfenol A","")</f>
        <v/>
      </c>
      <c r="Z72" s="7"/>
      <c r="AA72" s="7"/>
      <c r="AB72" s="4" t="str">
        <f>IF(V72=TRUE,"2.","")</f>
        <v/>
      </c>
      <c r="AC72" s="4" t="str">
        <f>IF($V$72=TRUE,"Bly","")</f>
        <v/>
      </c>
      <c r="AD72" s="4"/>
      <c r="AE72" s="3"/>
      <c r="AF72" s="4" t="str">
        <f>IF(V72=TRUE,"3.","")</f>
        <v/>
      </c>
      <c r="AG72" s="4" t="str">
        <f>IF($V$72=TRUE,"Klorerte parafiner","")</f>
        <v/>
      </c>
      <c r="AH72" s="4"/>
      <c r="AI72" s="4"/>
      <c r="AJ72" s="4"/>
      <c r="AK72" s="4" t="str">
        <f>IF(V72=TRUE,"4.","")</f>
        <v/>
      </c>
      <c r="AL72" s="4" t="str">
        <f>IF($V$72=TRUE,"Kadmium ¹⁾","")</f>
        <v/>
      </c>
      <c r="AM72" s="4"/>
      <c r="AN72" s="4"/>
      <c r="AO72" s="4" t="str">
        <f>IF(V72=TRUE,"5.","")</f>
        <v/>
      </c>
      <c r="AP72" s="4" t="str">
        <f>IF($V$72=TRUE,"Oktyl-nonylfenol","")</f>
        <v/>
      </c>
      <c r="AQ72" s="4"/>
      <c r="AR72" s="4"/>
      <c r="AS72" s="4" t="str">
        <f>IF(V72=TRUE,"6.","")</f>
        <v/>
      </c>
      <c r="AT72" s="4" t="str">
        <f>IF($V$72=TRUE,"Siloksan (D4/D5)","")</f>
        <v/>
      </c>
      <c r="AU72" s="4"/>
      <c r="AV72" s="4"/>
      <c r="AW72" s="4" t="str">
        <f>IF(V72=TRUE,"7.","")</f>
        <v/>
      </c>
      <c r="AX72" s="4" t="str">
        <f>IF($V$72=TRUE,"Krom","")</f>
        <v/>
      </c>
      <c r="AY72" s="4"/>
      <c r="AZ72" s="4"/>
      <c r="BA72" s="4" t="str">
        <f>IF(V72=TRUE,"8.","")</f>
        <v/>
      </c>
      <c r="BB72" s="4" t="str">
        <f>IF($V$72=TRUE,"PFOS/PFOA/PFCA ²⁾","")</f>
        <v/>
      </c>
      <c r="BC72" s="4"/>
      <c r="BD72" s="4"/>
      <c r="BE72" s="4" t="str">
        <f>IF(V72=TRUE,"9.","")</f>
        <v/>
      </c>
      <c r="BF72" s="4" t="str">
        <f>IF($V$72=TRUE,"Ftalater (DEHP)","")</f>
        <v/>
      </c>
      <c r="BG72" s="4"/>
      <c r="BH72" s="4"/>
      <c r="BI72" s="4"/>
      <c r="BJ72" s="4"/>
      <c r="BK72" s="4"/>
      <c r="BL72" s="4"/>
      <c r="BM72" s="4"/>
      <c r="BN72" s="4"/>
      <c r="BO72" s="4"/>
      <c r="BP72" s="3"/>
      <c r="BQ72" s="3"/>
      <c r="BR72" s="3"/>
      <c r="BS72" s="3"/>
      <c r="BT72" s="3"/>
      <c r="BU72" s="106"/>
      <c r="BV72" s="106"/>
      <c r="BW72" s="106"/>
      <c r="BX72" s="106"/>
      <c r="BY72" s="106"/>
      <c r="BZ72" s="106"/>
      <c r="CA72" s="106"/>
      <c r="CB72" s="106"/>
      <c r="CC72" s="106"/>
      <c r="CD72" s="106"/>
      <c r="CE72" s="106"/>
      <c r="CF72" s="106"/>
      <c r="CG72" s="106"/>
      <c r="CH72" s="106"/>
      <c r="CI72" s="106"/>
      <c r="CJ72" s="106"/>
      <c r="CK72" s="106"/>
      <c r="CL72" s="106"/>
      <c r="CM72" s="106"/>
      <c r="CN72" s="106"/>
      <c r="CO72" s="106"/>
      <c r="CP72" s="106"/>
      <c r="CQ72" s="106"/>
      <c r="CR72" s="106"/>
      <c r="CS72" s="106"/>
      <c r="CT72" s="106"/>
      <c r="CU72" s="106"/>
      <c r="CV72" s="106"/>
      <c r="CW72" s="106"/>
      <c r="CX72" s="106"/>
      <c r="CY72" s="106"/>
      <c r="CZ72" s="106"/>
      <c r="DA72" s="106"/>
      <c r="DB72" s="106"/>
      <c r="DC72" s="106"/>
      <c r="DD72" s="106"/>
      <c r="DE72" s="106"/>
      <c r="DF72" s="106"/>
      <c r="DG72" s="106"/>
      <c r="DH72" s="106"/>
      <c r="DI72" s="106"/>
      <c r="DJ72" s="106"/>
      <c r="DK72" s="106"/>
      <c r="DL72" s="106"/>
      <c r="DM72" s="106"/>
      <c r="DN72" s="106"/>
      <c r="DO72" s="106"/>
      <c r="DP72" s="106"/>
      <c r="DQ72" s="106"/>
      <c r="DR72" s="106"/>
      <c r="DS72" s="106"/>
      <c r="DT72" s="106"/>
      <c r="DU72" s="106"/>
      <c r="DV72" s="106"/>
      <c r="DW72" s="106"/>
      <c r="DX72" s="106"/>
      <c r="DY72" s="106"/>
      <c r="DZ72" s="106"/>
      <c r="EA72" s="106"/>
      <c r="EB72" s="106"/>
      <c r="EC72" s="106"/>
      <c r="ED72" s="106"/>
      <c r="EE72" s="106"/>
      <c r="EF72" s="106"/>
      <c r="EG72" s="106"/>
    </row>
    <row r="73" spans="1:137" ht="15" customHeight="1" thickBot="1">
      <c r="A73" s="14"/>
      <c r="B73" s="57"/>
      <c r="C73" s="51" t="s">
        <v>26</v>
      </c>
      <c r="D73" s="57"/>
      <c r="E73" s="57"/>
      <c r="F73" s="57"/>
      <c r="G73" s="57"/>
      <c r="H73" s="57"/>
      <c r="I73" s="57"/>
      <c r="J73" s="57"/>
      <c r="K73" s="57"/>
      <c r="L73" s="57"/>
      <c r="M73" s="57"/>
      <c r="N73" s="57"/>
      <c r="O73" s="57"/>
      <c r="P73" s="57"/>
      <c r="Q73" s="57"/>
      <c r="R73" s="57"/>
      <c r="S73" s="57"/>
      <c r="W73" s="28" t="str">
        <f>CONCATENATE(W62,W63,W64,W65,W66,W67,W68,W69,W70,W71,W72)</f>
        <v/>
      </c>
      <c r="X73" s="28" t="str">
        <f t="shared" ref="X73:BL73" si="1">CONCATENATE(X62,X63,X64,X65,X66,X67,X68,X69,X70,X71,X72)</f>
        <v/>
      </c>
      <c r="Y73" s="28" t="str">
        <f t="shared" si="1"/>
        <v/>
      </c>
      <c r="Z73" s="28" t="str">
        <f t="shared" si="1"/>
        <v/>
      </c>
      <c r="AA73" s="28" t="str">
        <f>CONCATENATE(AA62,AA63,AA64,AA65,AA66,AA67,AA68,AA69,AA70,AA71,AA72)</f>
        <v/>
      </c>
      <c r="AB73" s="28" t="str">
        <f t="shared" si="1"/>
        <v/>
      </c>
      <c r="AC73" s="28" t="str">
        <f t="shared" si="1"/>
        <v/>
      </c>
      <c r="AD73" s="28" t="str">
        <f t="shared" si="1"/>
        <v/>
      </c>
      <c r="AE73" s="28" t="str">
        <f t="shared" si="1"/>
        <v/>
      </c>
      <c r="AF73" s="28" t="str">
        <f t="shared" si="1"/>
        <v/>
      </c>
      <c r="AG73" s="28" t="str">
        <f t="shared" si="1"/>
        <v/>
      </c>
      <c r="AH73" s="28" t="str">
        <f t="shared" si="1"/>
        <v/>
      </c>
      <c r="AI73" s="28" t="str">
        <f t="shared" si="1"/>
        <v/>
      </c>
      <c r="AJ73" s="28"/>
      <c r="AK73" s="28" t="str">
        <f t="shared" si="1"/>
        <v/>
      </c>
      <c r="AL73" s="28" t="str">
        <f t="shared" si="1"/>
        <v/>
      </c>
      <c r="AM73" s="28" t="str">
        <f t="shared" si="1"/>
        <v/>
      </c>
      <c r="AN73" s="28" t="str">
        <f t="shared" si="1"/>
        <v/>
      </c>
      <c r="AO73" s="28" t="str">
        <f t="shared" si="1"/>
        <v/>
      </c>
      <c r="AP73" s="28" t="str">
        <f t="shared" si="1"/>
        <v/>
      </c>
      <c r="AQ73" s="28" t="str">
        <f t="shared" si="1"/>
        <v/>
      </c>
      <c r="AR73" s="28" t="str">
        <f t="shared" si="1"/>
        <v/>
      </c>
      <c r="AS73" s="28" t="str">
        <f t="shared" si="1"/>
        <v/>
      </c>
      <c r="AT73" s="28" t="str">
        <f t="shared" si="1"/>
        <v/>
      </c>
      <c r="AU73" s="28" t="str">
        <f t="shared" si="1"/>
        <v/>
      </c>
      <c r="AV73" s="28" t="str">
        <f>CONCATENATE(AV62,AV63,AV64,AV65,AV66,AV67,AV68,AV69,AV70,AV71,AV72)</f>
        <v/>
      </c>
      <c r="AW73" s="28" t="str">
        <f t="shared" si="1"/>
        <v/>
      </c>
      <c r="AX73" s="28" t="str">
        <f t="shared" si="1"/>
        <v/>
      </c>
      <c r="AY73" s="28" t="str">
        <f t="shared" si="1"/>
        <v/>
      </c>
      <c r="AZ73" s="28" t="str">
        <f>CONCATENATE(AZ62,AZ63,AZ64,AZ65,AZ66,AZ67,AZ68,AZ69,AZ70,AZ71,AZ72)</f>
        <v/>
      </c>
      <c r="BA73" s="28" t="str">
        <f t="shared" si="1"/>
        <v/>
      </c>
      <c r="BB73" s="28" t="str">
        <f t="shared" si="1"/>
        <v/>
      </c>
      <c r="BC73" s="28" t="str">
        <f t="shared" si="1"/>
        <v/>
      </c>
      <c r="BD73" s="28" t="str">
        <f t="shared" si="1"/>
        <v/>
      </c>
      <c r="BE73" s="28" t="str">
        <f t="shared" si="1"/>
        <v/>
      </c>
      <c r="BF73" s="28" t="str">
        <f t="shared" si="1"/>
        <v/>
      </c>
      <c r="BG73" s="28" t="str">
        <f t="shared" si="1"/>
        <v/>
      </c>
      <c r="BH73" s="28" t="str">
        <f t="shared" si="1"/>
        <v/>
      </c>
      <c r="BI73" s="28" t="str">
        <f t="shared" si="1"/>
        <v/>
      </c>
      <c r="BJ73" s="28" t="str">
        <f t="shared" si="1"/>
        <v/>
      </c>
      <c r="BK73" s="28" t="str">
        <f t="shared" si="1"/>
        <v/>
      </c>
      <c r="BL73" s="28" t="str">
        <f t="shared" si="1"/>
        <v/>
      </c>
      <c r="BM73" s="4" t="str">
        <f>CONCATENATE(BM62,BM63,BM64,BM65,BM66,BM67,BM68,BM69,BM70)</f>
        <v/>
      </c>
      <c r="BN73" s="4" t="str">
        <f>CONCATENATE(BN62,BN63,BN64,BN65,BN66,BN67,BN68,BN69,BN70)</f>
        <v/>
      </c>
      <c r="BO73" s="4" t="str">
        <f>CONCATENATE(BO62,BO63,BO64,BO65,BO66,BO67,BO68,BO69,BO70)</f>
        <v/>
      </c>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row>
    <row r="74" spans="1:137" ht="15" customHeight="1">
      <c r="A74" s="14"/>
      <c r="B74" s="57"/>
      <c r="C74" s="207"/>
      <c r="D74" s="208"/>
      <c r="E74" s="208"/>
      <c r="F74" s="208"/>
      <c r="G74" s="209"/>
      <c r="H74" s="57"/>
      <c r="I74" s="216" t="str">
        <f>IF(OR(V5=1,R48=1,R52=1),"",IF(R67=TRUE,"For deklarering av maling og lakk, se egen tabell nederst i dokumentet. 
Velg «Til deklarering» når dokumentasjonskravene er bekreftet.",IF(W43="","",W43)))</f>
        <v/>
      </c>
      <c r="J74" s="216"/>
      <c r="K74" s="216"/>
      <c r="L74" s="216"/>
      <c r="M74" s="216"/>
      <c r="N74" s="216"/>
      <c r="O74" s="216"/>
      <c r="P74" s="216"/>
      <c r="Q74" s="216"/>
      <c r="R74" s="216"/>
      <c r="S74" s="57"/>
      <c r="W74" s="7" t="str">
        <f>IF($R$62=TRUE,"fugemasser",IF($S$62=TRUE,"maling og lakk",IF(T62=TRUE,"bygningsplater",IF(U62=TRUE,"bygningsplater",IF(V62=TRUE,"bygningsplater","")))))</f>
        <v/>
      </c>
      <c r="X74" s="7" t="str">
        <f>IF($R$62=TRUE,"1.",IF($S$62=TRUE,"A1.",IF($T$62=TRUE,"1.",IF(U62=TRUE,"1.",IF(V62=TRUE,"1.","")))))</f>
        <v/>
      </c>
      <c r="Y74" s="7" t="str">
        <f>IF($R$62=TRUE,"Produktet har en emisjonstest som viser at emisjoner av TVOC er under 0,2 mg/m²h",IF($S$62=TRUE,"Innendørsmaling og -lakk som anvendes på stedet og defineres som kategori a, b, d, e, g, h, i, j, k eller ifølge vedlegg I til direktiv 2004/42/EF, oppfyller øvre grenseverdier for VOC-innhold som definert i vedlegg II/A",IF(T62=TRUE,"Arsen",IF(U62=TRUE,"Arsen",IF(V62=TRUE,"Arsen","")))))</f>
        <v/>
      </c>
      <c r="Z74" s="7" t="str">
        <f>IF($R$62=TRUE,"NS-EN 15251:2007",IF($S$62=TRUE,"1. EU-direktiv 2004/42/EF
2. NS-EN 15251:2007",""))</f>
        <v/>
      </c>
      <c r="AA74" s="152"/>
      <c r="AB74" s="4" t="str">
        <f>IF($R$62=TRUE,"2.",IF($S$62=TRUE,"A2.",IF(T62=TRUE,"2.",IF(U62=TRUE,"2.",IF(V62=TRUE,"2.","")))))</f>
        <v/>
      </c>
      <c r="AC74" s="4" t="str">
        <f>IF($R$62=TRUE,"Produktet har en emisjonstest som viser at emisjoner av formaldehyd er under 0,05 mg/m²h",IF($S$62=TRUE,"Grenseverdier for VOC-utslipp: 
Innendørsmaling og -lakk for vegg, gulv og himlinger som anvendes på stedet og defineres som kategori a, b, i eller j ifølge vedlegg til 2004/43/EF, skal oppfylle følgende utslippskriterier:",IF(T62=TRUE,"Bly",IF(U62=TRUE,"Bly",IF(V62=TRUE,"Bly","")))))</f>
        <v/>
      </c>
      <c r="AD74" s="4" t="str">
        <f>IF($R$62=TRUE,"NS-EN 15251:2007","")</f>
        <v/>
      </c>
      <c r="AE74" s="150"/>
      <c r="AF74" s="4" t="str">
        <f>IF($R$62=TRUE,"3.a",IF($S$62=TRUE,"A2.",IF(T62=TRUE,"3.",IF(U62=TRUE,"3.",IF(V62=TRUE,"3.","")))))</f>
        <v/>
      </c>
      <c r="AG74" s="4" t="str">
        <f>IF($R$62=TRUE,"Produktet har en emisjonstest som viser at emisjoner av ammoniakk er under 0,03 mg/m²h",IF($S$62=TRUE,"TVOC: 200 μg/m²h etter 28 dager, 
alternativt 417 μg/m³ etter 28 dager (vegg), 160 μg/m³ etter 28 dager (gulv og himling),",IF(T62=TRUE,"Bromerte flammehemmere (HBCDD, TBBPA)",IF(U62=TRUE,"Bromerte flammehemmere (HBCDD, TBBPA)",IF(V62=TRUE,"Bromerte flammehemmere (HBCD, TBBPA)","")))))</f>
        <v/>
      </c>
      <c r="AH74" s="4" t="str">
        <f>IF($R$62=TRUE,"NS-EN 15251:2007",IF($S$62=TRUE,"1. EU-direktiv 2004/42/EF
2. NS-EN 15251:2007",""))</f>
        <v/>
      </c>
      <c r="AI74" s="153" t="str">
        <f>IF($S$62=TRUE,"1. ISO 11890-2:2013  – Del 2:
Gasskromatografisk metode"&amp;"
2. ISO 16000-9 (eller ISO 16000-10) sammen med ISO 16000-6 (flyktige organiske forbindelser) og
ISO 16000-3 (formaldehyd)","")</f>
        <v/>
      </c>
      <c r="AJ74" s="153"/>
      <c r="AK74" s="4" t="str">
        <f>IF($R$62=TRUE,"3.b",IF($S$62=TRUE,"A3.",IF(T62=TRUE,"4.",IF(U62=TRUE,"4.",IF(V62=TRUE,"4.","")))))</f>
        <v/>
      </c>
      <c r="AL74" s="4" t="str">
        <f>IF($R$62=TRUE,"Produktet har ikke en emisjonstest som måler emisjoner av ammoniakk, men undertegnede kan bekrefte at ammoniakk ikke er sporbart aktivt i produktet, og at produktet ikke inneholder stoffer som kan avspaltes til ammoniakk",IF(S62=TRUE,"FORMALDEHYD: 62 μg/m²h etter 3 dager eller 50 μg/m²h etter 28 dager, alternativt 50 μg/m³ etter 3 dager eller 104 μg/m³ etter 28 dager (vegg)
50 μg/m³ etter 3 dager (gulv og himling),",IF($T$62=TRUE,"Ftalater (DEHP, DBP,BBP)",IF($U$62=TRUE,"Ftalater (DEHP)",IF($V$62=TRUE,"Ftalater (DEHP)","")))))</f>
        <v/>
      </c>
      <c r="AM74" s="4" t="str">
        <f>IF($S$62=TRUE,"1. EU-direktiv 2004/42/EF
2. NS-EN 15251:2007",IF($R$62=TRUE,
"EN 717-1:2004
EN 13999-2:2007
EN 13999-3:2007
EN 13999-4:2007
EN 12149:1997",IF($R$62=TRUE,"","")))</f>
        <v/>
      </c>
      <c r="AN74" s="153"/>
      <c r="AO74" s="4" t="str">
        <f>IF($R$62=TRUE,"4.",IF($S$62=TRUE,"A2.",IF(T62=TRUE,"5.",IF(U62=TRUE,"5.",IF(V62=TRUE,"5.","")))))</f>
        <v/>
      </c>
      <c r="AP74" s="4" t="str">
        <f>IF(S62=TRUE,"KREFTFREMKALLENDE: 5 μg/m²h, alternativt 10 μg/m³ (vegg), 4 μg/m³ (gulv og himling).",IF($R$62=TRUE,"Produktet har en emisjonstest som viser at emisjoner av kreftfremkallende forbindelser (IARC) er under 0,005 mg/m²h",IF(T62=TRUE,"Krom",IF(U62=TRUE,"Krom",IF(V62=TRUE,"Krom","")))))</f>
        <v/>
      </c>
      <c r="AQ74" s="4" t="str">
        <f>IF($S$62=TRUE,"1. EU-direktiv 2004/42/EF
2. NS-EN 15251:2007",IF($R$62=TRUE,"NS-EN 15251:2007",""))</f>
        <v/>
      </c>
      <c r="AR74" s="153"/>
      <c r="AS74" s="4" t="str">
        <f>IF($S$62=TRUE,"A3.",IF($R$62=TRUE,"5.",IF(T62=TRUE,"6.",IF(U62=TRUE,"6.",IF(V62=TRUE,"6.","")))))</f>
        <v/>
      </c>
      <c r="AT74" s="4" t="str">
        <f>IF($S$62=TRUE,"Bekreftelse med teknisk datablad eller vedlikeholds-
dokumentasjon på at malingen er sopp- og alge-
bestandig for våtrom som bad, kjøkken og vaskerom",IF($R$62=TRUE,"Produktet har en emisjonstest som viser at misnøye med lukt er under 15%.",IF(T62=TRUE,"Oktyl-/nonylfenoler",IF(U62=TRUE,"Oktyl-/nonylfenoler",IF(V62=TRUE,"Oktyl-/nonylfenol","")))))</f>
        <v/>
      </c>
      <c r="AU74" s="4" t="str">
        <f>IF($R$62=TRUE,"NS-EN 15251:2007","")</f>
        <v/>
      </c>
      <c r="AV74" s="153"/>
      <c r="AW74" s="4" t="str">
        <f>IF($R$62=TRUE,"6.",IF($T$62=TRUE,"7.",IF($U$62=TRUE,"7.","")))</f>
        <v/>
      </c>
      <c r="AX74" s="4" t="str">
        <f>IF($R$62=TRUE,"Testene i punkt 1 – 5 er utført iht. ISO 16000-serien med målinger gjort etter 28 dager",IF($T$62=TRUE,"Bisfenol A",IF($U$62=TRUE,"Bisfenol A","")))</f>
        <v/>
      </c>
      <c r="AY74" s="4" t="str">
        <f>IF($R$62=TRUE,"ISO 16000","")</f>
        <v/>
      </c>
      <c r="AZ74" s="4"/>
      <c r="BA74" s="4"/>
      <c r="BB74" s="4"/>
      <c r="BC74" s="4"/>
      <c r="BD74" s="4"/>
      <c r="BE74" s="4"/>
      <c r="BF74" s="4"/>
      <c r="BG74" s="4"/>
      <c r="BH74" s="4"/>
      <c r="BI74" s="4"/>
      <c r="BJ74" s="4"/>
      <c r="BK74" s="4"/>
      <c r="BL74" s="4"/>
      <c r="BM74" s="4"/>
      <c r="BN74" s="4"/>
      <c r="BO74" s="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row>
    <row r="75" spans="1:137" ht="15" customHeight="1">
      <c r="A75" s="14"/>
      <c r="B75" s="57"/>
      <c r="C75" s="210"/>
      <c r="D75" s="211"/>
      <c r="E75" s="211"/>
      <c r="F75" s="211"/>
      <c r="G75" s="212"/>
      <c r="H75" s="57"/>
      <c r="I75" s="216"/>
      <c r="J75" s="216"/>
      <c r="K75" s="216"/>
      <c r="L75" s="216"/>
      <c r="M75" s="216"/>
      <c r="N75" s="216"/>
      <c r="O75" s="216"/>
      <c r="P75" s="216"/>
      <c r="Q75" s="216"/>
      <c r="R75" s="216"/>
      <c r="S75" s="57"/>
      <c r="W75" s="7" t="str">
        <f>IF(R63=TRUE,"halvharde gulvbelegg, tekstile gulvbelegg og laminatgulv",IF(S63=TRUE,"treplater",IF(T63=TRUE,"tapeter",IF(U63=TRUE,"tapeter",IF(V63=TRUE,"gulvbelegg i vinyl eller PVC","")))))</f>
        <v/>
      </c>
      <c r="X75" s="7" t="str">
        <f>IF($R$63=TRUE,"1.a",IF($S$63=TRUE,"B1.",IF(T63=TRUE,"1.",IF(U63=TRUE,"1.",IF(V63=TRUE,"1.","")))))</f>
        <v/>
      </c>
      <c r="Y75" s="7" t="str">
        <f>IF($R$63=TRUE,"Produktet kan klassifiseres som E1 iht. testmetode EN 717-1:2004",IF($S$63=TRUE,"1. Formaldehyd E1-nivå
2. TVOC: 200 μg/m²h (tilsvarer 417 μg/m³ for vegg-
produkter), kreftfremkallende: 5 μg/m²h (tilsvarer 10 μg/m³ for veggprodukter) etter 28 dager.",IF(T63=TRUE,"Arsen",IF(U63=TRUE,"Arsen",IF(V63=TRUE,"Ftalater (DEHP)","")))))</f>
        <v/>
      </c>
      <c r="Z75" s="7" t="str">
        <f>IF($R$63=TRUE,"EN 14041:2004
EN 717-1:2004",IF($S$63=TRUE,"EN 717-1:2004, EN 717-2:1994, EN 120:1992, ISO 16000-9/ISO 16000-6 (VOC). 
Prøving og beregning iht. EN 16516",""))</f>
        <v/>
      </c>
      <c r="AA75" s="152"/>
      <c r="AB75" s="4" t="str">
        <f>IF($R$63=TRUE,"1.b",IF($S$63=TRUE,"B2.",IF(T63=TRUE,"2.",IF(U63=TRUE,"2.",IF(V63=TRUE,"2.","")))))</f>
        <v/>
      </c>
      <c r="AC75" s="4" t="str">
        <f>IF($R$63=TRUE,"Undertegnede kan bekrefte at produktet ikke er tilsatt noen materialer som inneholder formaldehyd under produksjon eller ved bearbeiding etter produksjonen. Disse kan klassifiseres som E1 uten prøving",IF($S$63=TRUE,"Undertegnede bekrefter fravær av regulerte treimpregneringsmidler.",IF(T63=TRUE,"Bly",IF(U63=TRUE,"Bly",IF(V63=TRUE,"Bromerte flammehemmere (HBCD, TBBPA)","")))))</f>
        <v/>
      </c>
      <c r="AD75" s="4" t="str">
        <f>IF($R$63=TRUE,"EN 14041:2004",IF(S63=TRUE,"-",""))</f>
        <v/>
      </c>
      <c r="AE75" s="150"/>
      <c r="AF75" s="4" t="str">
        <f>IF($R$63=TRUE,"2.",IF(T63=TRUE,"3.",IF(U63=TRUE,"3.",IF(V63=TRUE,"3.",""))))</f>
        <v/>
      </c>
      <c r="AG75" s="4" t="str">
        <f>IF($R$63=TRUE,"Produktet har en emisjonstest som viser at emisjoner av TVOC er under 0,2 mg/m²h",IF(T63=TRUE,"Bromerte flammehemmere (HBCDD, TBBPA)",IF(U63=TRUE,"Bromerte flammehemmere (HBCDD, TBBPA)",IF($V$63=TRUE,"Bisfenol A",""))))</f>
        <v/>
      </c>
      <c r="AH75" s="4" t="str">
        <f>IF($R$63=TRUE,"NS-EN 15251:2007","")</f>
        <v/>
      </c>
      <c r="AI75" s="153"/>
      <c r="AJ75" s="153"/>
      <c r="AK75" s="4" t="str">
        <f>IF($R$63=TRUE,"3.",IF(T63=TRUE,"4.",IF(U63=TRUE,"4.",IF(V63=TRUE,"4.",""))))</f>
        <v/>
      </c>
      <c r="AL75" s="4" t="str">
        <f>IF($R$63=TRUE,"Produktet har ikke en emisjonstest som måler emisjoner av ammoniakk, men undertegnede kan bekrefte at ammoniakk ikke er sporbart aktivt i produktet, og at produktet ikke inneholder stoffer som kan avspaltes til ammoniakk",IF($T$63=TRUE,"Ftalater (DEHP, DBP, BBP)",IF($U$63=TRUE,"Ftalater (DEHP)",IF(V63=TRUE,"Bly",""))))</f>
        <v/>
      </c>
      <c r="AM75" s="4" t="str">
        <f>IF($R$63=TRUE,
"EN 717-1:2004
EN 13999-2:2007
EN 13999-3:2007
EN 13999-4:2007
EN 12149:1997",IF($R$62=TRUE,"",""))</f>
        <v/>
      </c>
      <c r="AN75" s="153"/>
      <c r="AO75" s="4" t="str">
        <f>IF($R$63=TRUE,"4.a",IF(T63=TRUE,"5.",IF(U63=TRUE,"5.",IF(V63=TRUE,"5.",""))))</f>
        <v/>
      </c>
      <c r="AP75" s="4" t="str">
        <f>IF($R$63=TRUE,"Produktet har en emisjonstest som viser at emisjoner av ammoniakk er under 0,03 mg/m²h",IF(T63=TRUE,"Mellomkjedede klorparafiner",IF(U63=TRUE,"Mellomkjedede klorparafiner",IF(V63=TRUE,"Mellomkjedede klorerte parafiner",""))))</f>
        <v/>
      </c>
      <c r="AQ75" s="4" t="str">
        <f>IF($R$63=TRUE,"NS-EN 15251:2007","")</f>
        <v/>
      </c>
      <c r="AR75" s="153"/>
      <c r="AS75" s="4" t="str">
        <f>IF($R$63=TRUE,"4.b",IF($V$63=TRUE,"6.",""))</f>
        <v/>
      </c>
      <c r="AT75" s="4" t="str">
        <f>IF($R$63=TRUE,"Produktet har en emisjonstest som viser at misnøye med lukt er under 15 %.",IF($V$63=TRUE,"Arsen",""))</f>
        <v/>
      </c>
      <c r="AU75" s="4" t="str">
        <f>IF($R$63=TRUE,"NS-EN 15251:2007","")</f>
        <v/>
      </c>
      <c r="AV75" s="153"/>
      <c r="AW75" s="4" t="str">
        <f>IF($R$63=TRUE,"5.","")</f>
        <v/>
      </c>
      <c r="AX75" s="4" t="str">
        <f>IF($R$63=TRUE,"Produktet har en emisjonstest som viser at emisjoner av kreftfremkallende forbindelser (IARC) er under 0,005 mg/m²h","")</f>
        <v/>
      </c>
      <c r="AY75" s="4" t="str">
        <f>IF($R$63=TRUE,"NS-EN 15251:2007","")</f>
        <v/>
      </c>
      <c r="AZ75" s="4"/>
      <c r="BA75" s="4" t="str">
        <f>IF($R$63=TRUE,"6.","")</f>
        <v/>
      </c>
      <c r="BB75" s="4" t="str">
        <f>IF($R$63=TRUE,"Produktet har en emisjonstest som viser at emisjoner av formaldehyd er under 0,05 mg/m²h","")</f>
        <v/>
      </c>
      <c r="BC75" s="4" t="str">
        <f>IF($R$63=TRUE,"NS-EN 15251:2007","")</f>
        <v/>
      </c>
      <c r="BD75" s="4"/>
      <c r="BE75" s="4" t="str">
        <f>IF($R$63=TRUE,"7.","")</f>
        <v/>
      </c>
      <c r="BF75" s="4" t="str">
        <f>IF($R$63=TRUE,"Testene i punkt 2 – 6 er utført iht. ISO 16000-serien med målinger gjort etter 28 dager","")</f>
        <v/>
      </c>
      <c r="BG75" s="4" t="str">
        <f>IF($R$63=TRUE,"ISO 16000","")</f>
        <v/>
      </c>
      <c r="BH75" s="4"/>
      <c r="BI75" s="4" t="str">
        <f>IF($R$63=TRUE,"8.","")</f>
        <v/>
      </c>
      <c r="BJ75" s="4" t="str">
        <f>IF($R$63=TRUE,"Undertegnede kan bekrefte fravær av regulerte impregneringsmidler og at minimumsnivå er overholdt","")</f>
        <v/>
      </c>
      <c r="BK75" s="4" t="str">
        <f>IF($R$63=TRUE,"EN 14041:2004","")</f>
        <v/>
      </c>
      <c r="BL75" s="4"/>
      <c r="BM75" s="4"/>
      <c r="BN75" s="4"/>
      <c r="BO75" s="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row>
    <row r="76" spans="1:137" ht="15" customHeight="1">
      <c r="A76" s="14"/>
      <c r="B76" s="57"/>
      <c r="C76" s="210"/>
      <c r="D76" s="211"/>
      <c r="E76" s="211"/>
      <c r="F76" s="211"/>
      <c r="G76" s="212"/>
      <c r="H76" s="57"/>
      <c r="I76" s="216"/>
      <c r="J76" s="216"/>
      <c r="K76" s="216"/>
      <c r="L76" s="216"/>
      <c r="M76" s="216"/>
      <c r="N76" s="216"/>
      <c r="O76" s="216"/>
      <c r="P76" s="216"/>
      <c r="Q76" s="216"/>
      <c r="R76" s="216"/>
      <c r="S76" s="57"/>
      <c r="W76" s="7" t="str">
        <f>IF(R64=TRUE,"gulvlim",IF(S64=TRUE,"trekonstruksjoner",IF(T64=TRUE,"tepper",IF(U64=TRUE,"tepper",IF(V64=TRUE,"polykarbonatplater","")))))</f>
        <v/>
      </c>
      <c r="X76" s="7" t="str">
        <f>IF($R$64=TRUE,"1.",IF($S$64=TRUE,"C1.",IF(T64=TRUE,"1.",IF(U64=TRUE,"1.",IF($V$64=TRUE,"1.","")))))</f>
        <v/>
      </c>
      <c r="Y76" s="7" t="str">
        <f>IF($R$64=TRUE,"Produktet har en emisjonstest som viser at emisjoner av TVOC er under 0,2 mg/m²h",IF($S$64=TRUE,"1. Formaldehyd E1-nivå
2. TVOC: 200 μg/m²h (tilsvarer 417 μg/m³ for vegg-
produkter), kreftfremkallende: 5 μg/m²h (tilsvarer 10 μg/m³ for veggprodukter) etter 28 dager.",IF(T64=TRUE,"PFOS/PFOA",IF(U64=TRUE,"PFOS/PFOA",IF($V$64=TRUE,"Bisfenol A","")))))</f>
        <v/>
      </c>
      <c r="Z76" s="7" t="str">
        <f>IF($R$64=TRUE,"NS-EN 15251:2007",IF($S$64=TRUE,"EN 717-1:2004, EN 717-2:1994, EN 120:1992, ISO 16000-9 med ISO 16000-6. 
Prøving og beregning iht. EN 16516.",""))</f>
        <v/>
      </c>
      <c r="AA76" s="152"/>
      <c r="AB76" s="4" t="str">
        <f>IF($R$64=TRUE,"2.",IF($S$64=TRUE,"C2.",""))</f>
        <v/>
      </c>
      <c r="AC76" s="4" t="str">
        <f>IF($R$64=TRUE,"Produktet har en emisjonstest som viser at emisjoner av formaldehyd er under 0,05 mg/m²h",IF($S$64=TRUE,"Undertegnede bekrefter fravær av regulerte treimpregneringsmidler.",""))</f>
        <v/>
      </c>
      <c r="AD76" s="4" t="str">
        <f>IF($R$64=TRUE,"NS-EN 15251:2007",IF(S64=TRUE,"-",""))</f>
        <v/>
      </c>
      <c r="AE76" s="150"/>
      <c r="AF76" s="4" t="str">
        <f>IF($R$64=TRUE,"3.a","")</f>
        <v/>
      </c>
      <c r="AG76" s="4" t="str">
        <f>IF($R$64=TRUE,"Produktet har en emisjonstest som viser at emisjoner av ammoniakk er under 0,03 mg/m²h","")</f>
        <v/>
      </c>
      <c r="AH76" s="4" t="str">
        <f>IF($R$64=TRUE,"NS-EN 15251:2007","")</f>
        <v/>
      </c>
      <c r="AI76" s="153"/>
      <c r="AJ76" s="153"/>
      <c r="AK76" s="4" t="str">
        <f>IF($R$64=TRUE,"3.b","")</f>
        <v/>
      </c>
      <c r="AL76" s="4" t="str">
        <f>IF($R$64=TRUE,"Produktet har ikke en emisjonstest som måler emisjoner av ammoniakk, men undertegnede kan bekrefte at ammoniakk ikke er sporbart aktivt i produktet, og at produktet ikke inneholder stoffer som kan avspaltes til ammoniakk","")</f>
        <v/>
      </c>
      <c r="AM76" s="4" t="str">
        <f>IF($R$64=TRUE,
"EN 717-1:2004
EN 13999-2:2007
EN 13999-3:2007
EN 13999-4:2007
EN 12149:1997","")</f>
        <v/>
      </c>
      <c r="AN76" s="153"/>
      <c r="AO76" s="4" t="str">
        <f>IF($R$64=TRUE,"4.","")</f>
        <v/>
      </c>
      <c r="AP76" s="4" t="str">
        <f>IF($R$64=TRUE,"Produktet har en emisjonstest som viser at emisjoner av kreftfremkallende forbindelser (IARC) er under 0,005 mg/m²h","")</f>
        <v/>
      </c>
      <c r="AQ76" s="4" t="str">
        <f>IF($R$64=TRUE,"NS-EN 15251:2007","")</f>
        <v/>
      </c>
      <c r="AR76" s="153"/>
      <c r="AS76" s="4" t="str">
        <f>IF($R$64=TRUE,"5.","")</f>
        <v/>
      </c>
      <c r="AT76" s="4" t="str">
        <f>IF($R$64=TRUE,"Produktet har en emisjonstest som viser at misnøye med lukt er under 15 %.","")</f>
        <v/>
      </c>
      <c r="AU76" s="4" t="str">
        <f>IF($R$64=TRUE,"NS-EN 15251:2007","")</f>
        <v/>
      </c>
      <c r="AV76" s="153"/>
      <c r="AW76" s="4" t="str">
        <f>IF($R$64=TRUE,"6.","")</f>
        <v/>
      </c>
      <c r="AX76" s="4" t="str">
        <f>IF($R$64=TRUE,"Testene i punkt 1 – 5 er utført iht. ISO 16000-serien med målinger gjort etter 28 dager","")</f>
        <v/>
      </c>
      <c r="AY76" s="4" t="str">
        <f>IF($R$64=TRUE,"ISO 16000","")</f>
        <v/>
      </c>
      <c r="AZ76" s="4"/>
      <c r="BA76" s="4" t="str">
        <f>IF($R$64=TRUE,"7.","")</f>
        <v/>
      </c>
      <c r="BB76" s="4" t="str">
        <f>IF($R$64=TRUE,"Produktet har utført tester iht. EN 13999-2/3/4:2007, og kan bekrefte fravær av kreft- og allergifremkallende stoffer","")</f>
        <v/>
      </c>
      <c r="BC76" s="4" t="str">
        <f>IF($R$64=TRUE,"EN 13999-1 :2007, EN 13999-2:2007, 
EN 13999-3:2007, EN 13999-4:2007","")</f>
        <v/>
      </c>
      <c r="BD76" s="4"/>
      <c r="BE76" s="4"/>
      <c r="BF76" s="4"/>
      <c r="BG76" s="4"/>
      <c r="BH76" s="4"/>
      <c r="BI76" s="4"/>
      <c r="BJ76" s="4"/>
      <c r="BK76" s="4"/>
      <c r="BL76" s="4"/>
      <c r="BM76" s="4"/>
      <c r="BN76" s="4"/>
      <c r="BO76" s="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row>
    <row r="77" spans="1:137" ht="15" customHeight="1" thickBot="1">
      <c r="A77" s="14"/>
      <c r="B77" s="57"/>
      <c r="C77" s="213"/>
      <c r="D77" s="214"/>
      <c r="E77" s="214"/>
      <c r="F77" s="214"/>
      <c r="G77" s="215"/>
      <c r="H77" s="57"/>
      <c r="I77" s="216"/>
      <c r="J77" s="216"/>
      <c r="K77" s="216"/>
      <c r="L77" s="216"/>
      <c r="M77" s="216"/>
      <c r="N77" s="216"/>
      <c r="O77" s="216"/>
      <c r="P77" s="216"/>
      <c r="Q77" s="216"/>
      <c r="R77" s="216"/>
      <c r="S77" s="57"/>
      <c r="U77" s="3" t="s">
        <v>110</v>
      </c>
      <c r="W77" s="7" t="str">
        <f>IF(R65=TRUE,"himlingsplater",IF(S65=TRUE,"tregulv og parkett",IF(T65=TRUE,"trevirke",IF(U65=TRUE,"trevirke",IF(V65=TRUE,"tapeter","")))))</f>
        <v/>
      </c>
      <c r="X77" s="7" t="str">
        <f>IF($R$65=TRUE,"1.a",IF($S$65=TRUE,"D1.",IF(T65=TRUE,"1.",IF(U65=TRUE,"1.",IF($V$65=TRUE,"1.","")))))</f>
        <v/>
      </c>
      <c r="Y77" s="7" t="str">
        <f>IF($R$65=TRUE,"Produktet kan klassifiseres som E1 iht. testmetode EN 717-1:2004",IF($S$65=TRUE,"Grenseverdier for utslipp for alle produkter unntatt ubehandlet heltregulv:",IF($T$65=TRUE,"Kreosot",IF($U$65=TRUE,"Kreosot (PAH)",IF(V65=TRUE,"Arsen","")))))</f>
        <v/>
      </c>
      <c r="Z77" s="7" t="str">
        <f>IF($R$65=TRUE,"EN 13964:2004
EN 717-1:2004","")</f>
        <v/>
      </c>
      <c r="AA77" s="152"/>
      <c r="AB77" s="4" t="str">
        <f>IF($R$65=TRUE,"1.b",IF($S$65=TRUE,"D1.",IF($V$65=TRUE,"2.","")))</f>
        <v/>
      </c>
      <c r="AC77" s="4" t="str">
        <f>IF(S65=TRUE,"TVOC: 200 μg/m²h (tilsvarer 160 μg/m³) etter 28 dager,",IF($R$65=TRUE,"Undertegnede kan bekrefte at produktet ikke er tilsatt noen materialer som inneholder formaldehyd under produksjon eller ved bearbeiding etter produksjonen. Disse kan klassifiseres som E1 uten prøving",IF(V65=TRUE,"Bly","")))</f>
        <v/>
      </c>
      <c r="AD77" s="4" t="str">
        <f>IF($R$65=TRUE,"NS-EN 13964:2004",IF($S$65=TRUE,"NS-EN 15251:2007",""))</f>
        <v/>
      </c>
      <c r="AE77" s="150"/>
      <c r="AF77" s="4" t="str">
        <f>IF($R$65=TRUE,"2.",IF($S$65=TRUE,"D1.",IF($V$65=TRUE,"3.","")))</f>
        <v/>
      </c>
      <c r="AG77" s="4" t="str">
        <f>IF(S65=TRUE,"FORMALDEHYD: 62 μg/m²h (tilsvarer 50 μg/m³) etter 3 dager eller 50 μg/m²h (tilsvarer 40 μg/m³) etter 28 dager,",IF($R$65=TRUE,"Produktet har en emisjonstest som viser at emisjoner av TVOC er under 0,2 mg/m²h",IF(V65=TRUE,"Bromerte flammehemmere (HBCD, TBBPA)","")))</f>
        <v/>
      </c>
      <c r="AH77" s="4" t="str">
        <f>IF($R$65=TRUE,"NS-EN 15251:2007",IF($S$65=TRUE,"NS-EN 15251:2007",""))</f>
        <v/>
      </c>
      <c r="AI77" s="153" t="str">
        <f>IF($S$65=TRUE,"ISO 16000-9 med ISO 16000-6 og ISO 16000-3. Prøving og beregning i samsvar med EN 16516.","")</f>
        <v/>
      </c>
      <c r="AJ77" s="153"/>
      <c r="AK77" s="4" t="str">
        <f>IF($R$65=TRUE,"3.",IF($S$65=TRUE,"D1.",IF($V$65=TRUE,"4.","")))</f>
        <v/>
      </c>
      <c r="AL77" s="4" t="str">
        <f>IF(S65=TRUE,"KREFTFREMKALLENDE: 5 μg/m²h (tilsvarer 4 μg/m³) etter 28 dager.",IF($R$65=TRUE,"Produktet har ikke en emisjonstest som måler emisjoner av ammoniakk, men undertegnede kan bekrefte at ammoniakk ikke er sporbart aktivt i produktet, og at produktet ikke inneholder stoffer som kan avspaltes til ammoniakk",IF($V$65=TRUE,"Ftalater (DEHP)","")))</f>
        <v/>
      </c>
      <c r="AM77" s="4" t="str">
        <f>IF($R$65=TRUE,
"EN 717-1:2004
EN 13999-2:2007
EN 13999-3:2007
EN 13999-4:2007
EN 12149:1997",IF($S$65=TRUE,"NS-EN 15251:2007",""))</f>
        <v/>
      </c>
      <c r="AN77" s="153"/>
      <c r="AO77" s="4" t="str">
        <f>IF($R$65=TRUE,"4.a",IF($S$65=TRUE,"D2.",IF($V$65=TRUE,"5.","")))</f>
        <v/>
      </c>
      <c r="AP77" s="4" t="str">
        <f>IF($S$65=TRUE,"Undertegnede bekrefter fravær av regulerte treimpregneringsmidler.",IF($R$65=TRUE,"Produktet har en emisjonstest som viser at emisjoner av ammoniakk er under 0,03 mg/m²h",IF(V65=TRUE,"Mellomkjedede klorerte parafiner","")))</f>
        <v/>
      </c>
      <c r="AQ77" s="4" t="str">
        <f>IF($R$65=TRUE,"NS-EN 15251:2007","")</f>
        <v/>
      </c>
      <c r="AR77" s="153"/>
      <c r="AS77" s="4" t="str">
        <f>IF($R$65=TRUE,"4.b","")</f>
        <v/>
      </c>
      <c r="AT77" s="4" t="str">
        <f>IF($R$65=TRUE,"Produktet har en emisjonstest som viser at misnøye med lukt er under 15 %.","")</f>
        <v/>
      </c>
      <c r="AU77" s="4" t="str">
        <f>IF($R$65=TRUE,"NS-EN 15251:2007","")</f>
        <v/>
      </c>
      <c r="AV77" s="153"/>
      <c r="AW77" s="4" t="str">
        <f>IF($R$65=TRUE,"5.","")</f>
        <v/>
      </c>
      <c r="AX77" s="4" t="str">
        <f>IF($R$65=TRUE,"Produktet har en emisjonstest som viser at emisjoner av kreftfremkallende forbindelser (IARC) er under 0,005 mg/m²h","")</f>
        <v/>
      </c>
      <c r="AY77" s="4" t="str">
        <f>IF($R$65=TRUE,"NS-EN 15251:2007","")</f>
        <v/>
      </c>
      <c r="AZ77" s="4"/>
      <c r="BA77" s="4" t="str">
        <f>IF($R$65=TRUE,"6.","")</f>
        <v/>
      </c>
      <c r="BB77" s="4" t="str">
        <f>IF($R$65=TRUE,"Produktet har en emisjonstest som viser at emisjoner av formaldehyd er under 0,05 mg/m²h","")</f>
        <v/>
      </c>
      <c r="BC77" s="4" t="str">
        <f>IF($R$65=TRUE,"NS-EN 15251:2007","")</f>
        <v/>
      </c>
      <c r="BD77" s="4"/>
      <c r="BE77" s="4" t="str">
        <f>IF($R$65=TRUE,"7.","")</f>
        <v/>
      </c>
      <c r="BF77" s="4" t="str">
        <f>IF($R$65=TRUE,"Testene i punkt 2 – 6 er utført iht. ISO 16000-serien med målinger gjort etter 28 dager","")</f>
        <v/>
      </c>
      <c r="BG77" s="4" t="str">
        <f>IF($R$65=TRUE,"ISO 16000","")</f>
        <v/>
      </c>
      <c r="BH77" s="4"/>
      <c r="BI77" s="4" t="str">
        <f>IF($R$65=TRUE,"8.","")</f>
        <v/>
      </c>
      <c r="BJ77" s="4" t="str">
        <f>IF($R$65=TRUE,"Undertegnede kan bekrefte at produktet ikke inneholder asbest","")</f>
        <v/>
      </c>
      <c r="BK77" s="4" t="str">
        <f>IF($R$65=TRUE,"NS-EN 13964:2004","")</f>
        <v/>
      </c>
      <c r="BL77" s="4"/>
      <c r="BM77" s="4"/>
      <c r="BN77" s="4"/>
      <c r="BO77" s="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row>
    <row r="78" spans="1:137" ht="15" customHeight="1">
      <c r="A78" s="14"/>
      <c r="B78" s="57"/>
      <c r="C78" s="57"/>
      <c r="D78" s="57"/>
      <c r="E78" s="57"/>
      <c r="F78" s="57"/>
      <c r="G78" s="57"/>
      <c r="H78" s="57"/>
      <c r="I78" s="57"/>
      <c r="J78" s="57"/>
      <c r="K78" s="57"/>
      <c r="L78" s="57"/>
      <c r="M78" s="57"/>
      <c r="N78" s="57"/>
      <c r="O78" s="57"/>
      <c r="P78" s="57"/>
      <c r="Q78" s="57"/>
      <c r="R78" s="57"/>
      <c r="S78" s="57"/>
      <c r="W78" s="7" t="str">
        <f>IF(R66=TRUE,"trekonstruksjoner",IF(S66=TRUE,"slitesterke tekstil- og laminatgulvbelegg",IF(T66=TRUE,"vinduer og ytterdører",IF(U66=TRUE,"vinduer og ytterdører",IF(V66=TRUE,"tepper","")))))</f>
        <v/>
      </c>
      <c r="X78" s="7" t="str">
        <f>IF($R$66=TRUE,"1.a",IF($S$66=TRUE,"E.",IF(T66=TRUE,"1.",IF(U66=TRUE,"1.",IF($V$66=TRUE,"1.","")))))</f>
        <v/>
      </c>
      <c r="Y78" s="7" t="str">
        <f>IF($R$66=TRUE,"Produktet kan klassifiseres som E1 iht. testmetode EN 717-1:2004",IF($S$66=TRUE,"Grenseverdier for utslipp:",IF($T$66=TRUE,"PFOS/PFOA",IF($U$66=TRUE,"PFOS/PFOA",IF(V66=TRUE,"PFOS/PFOA/PFCA","")))))</f>
        <v/>
      </c>
      <c r="Z78" s="7"/>
      <c r="AA78" s="152"/>
      <c r="AB78" s="4" t="str">
        <f>IF($S$66=TRUE,"E.",IF($R$66=TRUE,"1.b",IF(T66=TRUE,"2.",IF(U66=TRUE,"2.",IF($V$66=TRUE,"2.","")))))</f>
        <v/>
      </c>
      <c r="AC78" s="4" t="str">
        <f>IF(S66=TRUE,"TVOC: 200 μg/m²h (tilsvarer 160 μg/m³) etter 28 dager,",IF($R$66=TRUE,"Undertegnede kan bekrefte at produktet ikke er tilsatt noen materialer som inneholder formaldehyd under produksjon eller ved bearbeiding etter produksjonen. Disse kan klassifiseres som E1 uten prøving",IF(T66=TRUE,"Bromerte flammehemmere (HBCDD, TBBPA)",IF(U66=TRUE,"Bromerte flammehemmere (HBCDD, TBBPA)",IF($V$66=TRUE,"Bly","")))))</f>
        <v/>
      </c>
      <c r="AD78" s="4" t="str">
        <f>IF($R$66=TRUE,"EN 14080:2005
EN 717-1:2004",IF($S$66=TRUE,"NS-EN 15251:2007",IF($R$66=TRUE,"NS-EN 14080:2005","")))</f>
        <v/>
      </c>
      <c r="AE78" s="150"/>
      <c r="AF78" s="4" t="str">
        <f>IF($S$66=TRUE,"E.",IF($R$66=TRUE,"2.",IF(T66=TRUE,"3.",IF(U66=TRUE,"3.",IF($V$66=TRUE,"3.","")))))</f>
        <v/>
      </c>
      <c r="AG78" s="4" t="str">
        <f>IF(S66=TRUE,"FORMALDEHYD: 62 μg/m²h (tilsvarer 50 μg/m³) etter 3 dager eller 50 μg/m²h (tilsvarer 40 μg/m³) etter 28 dager,",IF($R$66=TRUE,"Produktet har en emisjonstest som viser at emisjoner av TVOC er under 0,2 mg/m²h",IF($T$66=TRUE,"Ftalater (DEHP, DBP, BBP)",IF($U$66=TRUE,"Ftalater (DEHP)",IF($V$66=TRUE,"Bromerte flammehemmere (HBCD, TBBPA)","")))))</f>
        <v/>
      </c>
      <c r="AH78" s="4" t="str">
        <f>IF($R$66=TRUE,"EN 14080:2005
EN 717-1:2004",IF($S$66=TRUE,"NS-EN 15251:2007",IF($R$66=TRUE,"NS-EN 15251:2007","")))</f>
        <v/>
      </c>
      <c r="AI78" s="153"/>
      <c r="AJ78" s="153"/>
      <c r="AK78" s="4" t="str">
        <f>IF($S$66=TRUE,"E.",IF($R$66=TRUE,"3.",IF(T66=TRUE,"4.",IF(U66=TRUE,"4.",IF($V$66=TRUE,"4.","")))))</f>
        <v/>
      </c>
      <c r="AL78" s="4" t="str">
        <f>IF(S66=TRUE,"KREFTFREMKALLENDE: 5 μg/m²h (tilsvarer 4 μg/m³) etter 28 dager.",IF($R$66=TRUE,"Produktet har ikke en emisjonstest som måler emisjoner av ammoniakk, men undertegnede kan bekrefte at ammoniakk ikke er sporbart aktivt i produktet, og at produktet ikke inneholder stoffer som kan avspaltes til ammoniakk",IF(T66=TRUE,"Klorparafiner",IF(U66=TRUE,"Klorparafiner",IF($U$69=TRUE,"Krom",IF($V$66=TRUE,"Klorerte parafiner",""))))))</f>
        <v/>
      </c>
      <c r="AM78" s="4" t="str">
        <f>IF($R$66=TRUE,"EN 14080:2005
EN 717-1:2004",IF($S$66=TRUE,"NS-EN 15251:2007",IF($R$66=TRUE,"NS-EN 15251:2007",IF($R$66=TRUE,
"EN 717-1:2004
EN 13999-2:2007
EN 13999-3:2007
EN 13999-4:2007
EN 12149:1997",""))))</f>
        <v/>
      </c>
      <c r="AN78" s="153"/>
      <c r="AO78" s="4" t="str">
        <f>IF($R$66=TRUE,"4.a",IF(T66=TRUE,"5.",IF(U66=TRUE,"5.",IF($V$66=TRUE,"5.",""))))</f>
        <v/>
      </c>
      <c r="AP78" s="4" t="str">
        <f>IF($R$66=TRUE,"Produktet har en emisjonstest som viser at emisjoner av ammoniakk er under 0,03 mg/m²h",IF(T66=TRUE,"Oktyl-/nonylfenoler",IF(U66=TRUE,"Oktyl-/nonylfenoler",IF($V$66=TRUE,"Krom",""))))</f>
        <v/>
      </c>
      <c r="AQ78" s="4" t="str">
        <f>IF($R$66=TRUE,"NS-EN 15251:2007","")</f>
        <v/>
      </c>
      <c r="AR78" s="153"/>
      <c r="AS78" s="4" t="str">
        <f>IF($R$66=TRUE,"4.b",IF(T66=TRUE,"6.",IF(U66=TRUE,"6.",IF($V$66=TRUE,"6.",""))))</f>
        <v/>
      </c>
      <c r="AT78" s="4" t="str">
        <f>IF($R$66=TRUE,"Produktet har en emisjonstest som viser at misnøye med lukt er under 15 %.",IF(T66=TRUE,"Bisfenol A",IF(U66=TRUE,"Bisfenol A",IF($V$66=TRUE,"Oktyl-/nonylfenoler",""))))</f>
        <v/>
      </c>
      <c r="AU78" s="4" t="str">
        <f>IF($R$66=TRUE,"NS-EN 15251:2007","")</f>
        <v/>
      </c>
      <c r="AV78" s="153"/>
      <c r="AW78" s="4" t="str">
        <f>IF($R$66=TRUE,"5.","")</f>
        <v/>
      </c>
      <c r="AX78" s="4" t="str">
        <f>IF($R$66=TRUE,"Produktet har en emisjonstest som viser at emisjoner av kreftfremkallende forbindelser (IARC) er under 0,005 mg/m²h","")</f>
        <v/>
      </c>
      <c r="AY78" s="4" t="str">
        <f>IF($R$66=TRUE,"NS-EN 15251:2007","")</f>
        <v/>
      </c>
      <c r="AZ78" s="4"/>
      <c r="BA78" s="4" t="str">
        <f>IF($R$66=TRUE,"6.","")</f>
        <v/>
      </c>
      <c r="BB78" s="4" t="str">
        <f>IF($R$66=TRUE,"Produktet har en emisjonstest som viser at emisjoner av formaldehyd er under 0,05 mg/m²h","")</f>
        <v/>
      </c>
      <c r="BC78" s="4" t="str">
        <f>IF($R$66=TRUE,"NS-EN 15251:2007","")</f>
        <v/>
      </c>
      <c r="BD78" s="4"/>
      <c r="BE78" s="4" t="str">
        <f>IF($R$66=TRUE,"7.","")</f>
        <v/>
      </c>
      <c r="BF78" s="4" t="str">
        <f>IF($R$66=TRUE,"Testene i punkt 2 – 6 er utført iht. ISO 16000-serien med målinger gjort etter 28 dager","")</f>
        <v/>
      </c>
      <c r="BG78" s="4" t="str">
        <f>IF($R$66=TRUE,"ISO 16000","")</f>
        <v/>
      </c>
      <c r="BH78" s="4"/>
      <c r="BI78" s="4"/>
      <c r="BJ78" s="4"/>
      <c r="BK78" s="4"/>
      <c r="BL78" s="4"/>
      <c r="BM78" s="4"/>
      <c r="BN78" s="4"/>
      <c r="BO78" s="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row>
    <row r="79" spans="1:137" s="1" customFormat="1" ht="15" hidden="1" customHeight="1">
      <c r="A79" s="35"/>
      <c r="B79" s="35"/>
      <c r="C79" s="36"/>
      <c r="D79" s="36"/>
      <c r="E79" s="36"/>
      <c r="F79" s="36"/>
      <c r="G79" s="36"/>
      <c r="H79" s="36"/>
      <c r="I79" s="36"/>
      <c r="J79" s="36"/>
      <c r="K79" s="36"/>
      <c r="L79" s="36"/>
      <c r="M79" s="35"/>
      <c r="N79" s="37"/>
      <c r="O79" s="37"/>
      <c r="P79" s="37"/>
      <c r="Q79" s="35"/>
      <c r="R79" s="35"/>
      <c r="S79" s="35"/>
      <c r="T79" s="3"/>
      <c r="U79" s="3"/>
      <c r="V79" s="3"/>
      <c r="W79" s="7" t="str">
        <f>IF(R67=TRUE,"maling og lakk",IF(S67=TRUE,"nedsenkede himlingsplater",IF(T67=TRUE,"vinyl gulvbelegg",IF(U67=TRUE,"vinyl gulvbelegg",IF(V67=TRUE,"trevirke behandlet med konserveringsmiddel","")))))</f>
        <v/>
      </c>
      <c r="X79" s="7" t="str">
        <f>IF($R$67=TRUE,"1.",IF($S$67=TRUE,"F.",IF(T67=TRUE,"1.",IF(U67=TRUE,"1.",IF(V67=TRUE,"1.","")))))</f>
        <v/>
      </c>
      <c r="Y79" s="7" t="str">
        <f>IF($S$67=TRUE,"Grenseverdier for utslipp:",IF($R$67=TRUE,"Emisjonstestene av maling er utført iht. ISO 16000-9 eller ISO 16000-10, og emisjonene som er oppgitt er fra målinger gjort etter 3 døgn",IF(T67=TRUE,"Bly",IF(U67=TRUE,"Bly",IF($V$67=TRUE,"Kreosot","")))))</f>
        <v/>
      </c>
      <c r="Z79" s="7"/>
      <c r="AA79" s="152"/>
      <c r="AB79" s="4" t="str">
        <f>IF($S$67=TRUE,"F.",IF($R$67=TRUE,"2.",IF($T$67=TRUE,"2.",IF(U67=TRUE,"2.",IF($V$67=TRUE,"2.","")))))</f>
        <v/>
      </c>
      <c r="AC79" s="4" t="str">
        <f>IF(S67=TRUE,"TVOC: 200 μg/m²h (tilsvarer 160 μg/m³) etter 28 dager,",IF($R$67=TRUE,"Malingen/lakken tilfredsstiller VOC-direktivet: Directive 2004/42/CE",IF(T67=TRUE,"Bromerte flammehemmere (HBCD, TBBPA)",IF(U67=TRUE,"Bromerte flammehemmere (HBCD, TBBPA)",IF($V$67=TRUE,"Arsen","")))))</f>
        <v/>
      </c>
      <c r="AD79" s="4" t="str">
        <f>IF($S$67=TRUE,"NS-EN 15251:2007","")</f>
        <v/>
      </c>
      <c r="AE79" s="150"/>
      <c r="AF79" s="4" t="str">
        <f>IF($S$67=TRUE,"F.",IF(T67=TRUE,"3.",IF(U67=TRUE,"3.",IF($V$67=TRUE,"3.",""))))</f>
        <v/>
      </c>
      <c r="AG79" s="4" t="str">
        <f>IF(S67=TRUE,"FORMALDEHYD: 62 μg/m²h (tilsvarer 50 μg/m³) etter 3 dager eller 50 μg/m²h (tilsvarer 40 μg/m³) etter 28 dager,",IF($T$67=TRUE,"Ftalater (DEHP, DBP, BBP)",IF($U$67=TRUE,"Ftalater (DEHP)",IF($V$67=TRUE,"Krom",""))))</f>
        <v/>
      </c>
      <c r="AH79" s="4" t="str">
        <f>IF($S$67=TRUE,"NS-EN 15251:2007","")</f>
        <v/>
      </c>
      <c r="AI79" s="153"/>
      <c r="AJ79" s="153"/>
      <c r="AK79" s="4" t="str">
        <f>IF($S$67=TRUE,"F.",IF(T67=TRUE,"4.",IF(U67=TRUE,"4.","")))</f>
        <v/>
      </c>
      <c r="AL79" s="4" t="str">
        <f>IF(S67=TRUE,"KREFTFREMKALLENDE: 5 μg/m²h (tilsvarer 4 μg/m³).",IF(T67=TRUE,"Bisfenol A",IF(U67=TRUE,"Bisfenol A","")))</f>
        <v/>
      </c>
      <c r="AM79" s="4" t="str">
        <f>IF($S$67=TRUE,"NS-EN 15251:2007","")</f>
        <v/>
      </c>
      <c r="AN79" s="153"/>
      <c r="AO79" s="4" t="str">
        <f>IF($T$67=TRUE,"5.",IF(U67=TRUE,"5.",""))</f>
        <v/>
      </c>
      <c r="AP79" s="4" t="str">
        <f>IF(T67=TRUE,"Mellomkjedede klorparafiner",IF(U67=TRUE,"Mellomkjedede klorparafiner",""))</f>
        <v/>
      </c>
      <c r="AQ79" s="4"/>
      <c r="AR79" s="153"/>
      <c r="AS79" s="4" t="str">
        <f>IF($T$67=TRUE,"6.","")</f>
        <v/>
      </c>
      <c r="AT79" s="4" t="str">
        <f>IF($T$67=TRUE,"Tris(2-kloretyl)fosfat (TCEP)","")</f>
        <v/>
      </c>
      <c r="AU79" s="4"/>
      <c r="AV79" s="153"/>
      <c r="AW79" s="4"/>
      <c r="AX79" s="4"/>
      <c r="AY79" s="4"/>
      <c r="AZ79" s="4"/>
      <c r="BA79" s="4"/>
      <c r="BB79" s="4"/>
      <c r="BC79" s="4"/>
      <c r="BD79" s="4"/>
      <c r="BE79" s="4"/>
      <c r="BF79" s="4"/>
      <c r="BG79" s="4"/>
      <c r="BH79" s="4"/>
      <c r="BI79" s="4"/>
      <c r="BJ79" s="4"/>
      <c r="BK79" s="4"/>
      <c r="BL79" s="4"/>
      <c r="BM79" s="4"/>
      <c r="BN79" s="4"/>
      <c r="BO79" s="4"/>
      <c r="BP79" s="3"/>
      <c r="BQ79" s="3"/>
      <c r="BR79" s="3"/>
      <c r="BS79" s="3"/>
      <c r="BT79" s="3"/>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row>
    <row r="80" spans="1:137" s="1" customFormat="1" ht="15" hidden="1" customHeight="1">
      <c r="A80" s="35"/>
      <c r="B80" s="35"/>
      <c r="C80" s="36"/>
      <c r="D80" s="36"/>
      <c r="E80" s="36"/>
      <c r="F80" s="36"/>
      <c r="G80" s="36"/>
      <c r="H80" s="36"/>
      <c r="I80" s="36"/>
      <c r="J80" s="36"/>
      <c r="K80" s="36"/>
      <c r="L80" s="36"/>
      <c r="M80" s="35"/>
      <c r="N80" s="37"/>
      <c r="O80" s="37"/>
      <c r="P80" s="37"/>
      <c r="Q80" s="35"/>
      <c r="R80" s="35"/>
      <c r="S80" s="35"/>
      <c r="T80" s="3"/>
      <c r="U80" s="3"/>
      <c r="V80" s="3"/>
      <c r="W80" s="7" t="str">
        <f>IF(R68=TRUE,"tregulv og parkett",IF(S68=TRUE,"gulvlim",IF(T68=TRUE,"XPS, EPS og cellegummi",IF(U68=TRUE,"XPS, EPS og cellegummi",IF(V68=TRUE,"vinduer og ytterdører","")))))</f>
        <v/>
      </c>
      <c r="X80" s="7" t="str">
        <f>IF($R$68=TRUE,"1.a",IF($S$68=TRUE,"G.",IF(T68=TRUE,"1.",IF(U68=TRUE,"1.",IF(V68=TRUE,"1.","")))))</f>
        <v/>
      </c>
      <c r="Y80" s="7" t="str">
        <f>IF($R$68=TRUE,"Produktet kan klassifiseres som E1 iht. testmetode EN 717-1:2004",IF($S$68=TRUE,"Grenseverdier for utslipp:",IF(T68=TRUE,"Bromerte flammehemmere HBCDD, TBBPA",IF(U68=TRUE,"Flammehemmere HBCDD, TBBPA",IF($V$68=TRUE,"PFOS/PFOA","")))))</f>
        <v/>
      </c>
      <c r="Z80" s="7" t="str">
        <f>IF($R$68=TRUE,"EN 14342:2005
EN 717-1:2004",IF(S68=TRUE,"ISO 16000-9 med ISO 16000-6 og ISO 16000-3",""))</f>
        <v/>
      </c>
      <c r="AA80" s="152"/>
      <c r="AB80" s="4" t="str">
        <f>IF($R$68=TRUE,"1.b",IF(V68=TRUE,"2.",""))</f>
        <v/>
      </c>
      <c r="AC80" s="4" t="str">
        <f>IF(S68=TRUE,"TVOC: 200 μg/m²h (tilsvarer 160 μg/m³) etter 28 dager,",IF($R$68=TRUE,"Undertegnede kan bekrefte at produktet ikke er tilsatt noen materialer som inneholder formaldehyd under produksjon eller ved bearbeiding etter produksjonen. Disse kan klassifiseres som E1 uten prøving",IF(V68=TRUE,"Bromerte flammehemmere (HBCD, TBBPA)","")))</f>
        <v/>
      </c>
      <c r="AD80" s="4" t="str">
        <f>IF($R$68=TRUE,"EN 14342:2005
EN 717-1:2004",IF(S68=TRUE,"ISO 16000-9 med ISO 16000-6 og ISO 16000-3.",""))</f>
        <v/>
      </c>
      <c r="AE80" s="150"/>
      <c r="AF80" s="4" t="str">
        <f>IF($R$68=TRUE,"2.",IF(V68=TRUE,"3.",""))</f>
        <v/>
      </c>
      <c r="AG80" s="4" t="str">
        <f>IF(S68=TRUE,"FORMALDEHYD: 62 μg/m²h (tilsvarer 50 μg/m³) etter 3 dager eller 50 μg/m²h (tilsvarer 40 μg/m³) etter 28 dager,",IF($R$68=TRUE,"Produktet har en emisjonstest som viser at emisjoner av TVOC er under 0,2 mg/m²h",IF($V$68=TRUE,"Ftalater (DEHP)","")))</f>
        <v/>
      </c>
      <c r="AH80" s="4" t="str">
        <f>IF($R$68=TRUE,"EN 14342:2005
EN 717-1:2004",IF(S68=TRUE,"ISO 16000-9 med ISO 16000-6 og ISO 16000-3.",IF($R$68=TRUE,"NS-EN 15251:2007","")))</f>
        <v/>
      </c>
      <c r="AI80" s="153"/>
      <c r="AJ80" s="153"/>
      <c r="AK80" s="4" t="str">
        <f>IF($R$68=TRUE,"3.",IF(V68=TRUE,"4.",""))</f>
        <v/>
      </c>
      <c r="AL80" s="4" t="str">
        <f>IF(S68=TRUE,"KREFTFREMKALLENDE: 5 μg/m²h (tilsvarer 4 μg/m³).",IF($R$68=TRUE,"Produktet har ikke en emisjonstest som måler emisjoner av ammoniakk, men undertegnede kan bekrefte at ammoniakk ikke er sporbart aktivt i produktet, og at produktet ikke inneholder stoffer som kan avspaltes til ammoniakk",IF(V68=TRUE,"Klorerte parafiner","")))</f>
        <v/>
      </c>
      <c r="AM80" s="4" t="str">
        <f>IF($R$68=TRUE,"EN 14342:2005
EN 717-1:2004",IF(S68=TRUE,"ISO 16000-9 med ISO 16000-6 og ISO 16000-3.",IF($R$68=TRUE,
"EN 717-1:2004
EN 13999-2:2007
EN 13999-3:2007
EN 13999-4:2007
EN 12149:1997","")))</f>
        <v/>
      </c>
      <c r="AN80" s="153"/>
      <c r="AO80" s="4" t="str">
        <f>IF($R$68=TRUE,"4.a",IF(V68=TRUE,"5.",""))</f>
        <v/>
      </c>
      <c r="AP80" s="4" t="str">
        <f>IF($R$68=TRUE,"Produktet har en emisjonstest som viser at emisjoner av ammoniakk er under 0,03 mg/m²h",IF(V68=TRUE,"Oktyl-/nonylfenol",""))</f>
        <v/>
      </c>
      <c r="AQ80" s="4" t="str">
        <f>IF($R$68=TRUE,"NS-EN 15251:2007","")</f>
        <v/>
      </c>
      <c r="AR80" s="153"/>
      <c r="AS80" s="4" t="str">
        <f>IF($R$68=TRUE,"4.b",IF(V68=TRUE,"6.",""))</f>
        <v/>
      </c>
      <c r="AT80" s="4" t="str">
        <f>IF($R$68=TRUE,"Produktet har en emisjonstest som viser at misnøye med lukt er under 15 %.",IF(V68=TRUE,"Bisfenol A",""))</f>
        <v/>
      </c>
      <c r="AU80" s="4" t="str">
        <f>IF($R$68=TRUE,"NS-EN 15251:2007","")</f>
        <v/>
      </c>
      <c r="AV80" s="153"/>
      <c r="AW80" s="4" t="str">
        <f>IF($R$68=TRUE,"5.",IF(V68=TRUE,"7.",""))</f>
        <v/>
      </c>
      <c r="AX80" s="4" t="str">
        <f>IF($R$68=TRUE,"Produktet har en emisjonstest som viser at emisjoner av kreftfremkallende forbindelser (IARC) er under 0,005 mg/m²h",IF($V$68=TRUE,"Bly",""))</f>
        <v/>
      </c>
      <c r="AY80" s="4" t="str">
        <f>IF($R$68=TRUE,"NS-EN 15251:2007","")</f>
        <v/>
      </c>
      <c r="AZ80" s="4"/>
      <c r="BA80" s="4" t="str">
        <f>IF($R$68=TRUE,"6.","")</f>
        <v/>
      </c>
      <c r="BB80" s="4" t="str">
        <f>IF($R$68=TRUE,"Produktet har en emisjonstest som viser at emisjoner av ammoniakk er under 0,03 mg/m²h","")</f>
        <v/>
      </c>
      <c r="BC80" s="4" t="str">
        <f>IF($R$68=TRUE,"NS-EN 15251:2007","")</f>
        <v/>
      </c>
      <c r="BD80" s="4"/>
      <c r="BE80" s="4" t="str">
        <f>IF($R$68=TRUE,"7.","")</f>
        <v/>
      </c>
      <c r="BF80" s="4" t="str">
        <f>IF($R$68=TRUE,"Testene i punkt 2 – 6 er utført iht. ISO 16000-serien med målinger gjort etter 28 dager","")</f>
        <v/>
      </c>
      <c r="BG80" s="4" t="str">
        <f>IF($R$68=TRUE,"ISO 16000","")</f>
        <v/>
      </c>
      <c r="BH80" s="4"/>
      <c r="BI80" s="4" t="str">
        <f>IF($R$68=TRUE,"8.","")</f>
        <v/>
      </c>
      <c r="BJ80" s="4" t="str">
        <f>IF($R$68=TRUE,"Undertegnede kan bekrefte fravær av regulerte treimpregneringsmidler og at minimumsnivå er overholdt","")</f>
        <v/>
      </c>
      <c r="BK80" s="4" t="str">
        <f>IF($R$68=TRUE,"NS-EN 14342:2005","")</f>
        <v/>
      </c>
      <c r="BL80" s="4"/>
      <c r="BM80" s="4"/>
      <c r="BN80" s="4"/>
      <c r="BO80" s="4"/>
      <c r="BP80" s="3"/>
      <c r="BQ80" s="3"/>
      <c r="BR80" s="3"/>
      <c r="BS80" s="3"/>
      <c r="BT80" s="3"/>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row>
    <row r="81" spans="1:137" s="1" customFormat="1" ht="15" hidden="1" customHeight="1">
      <c r="A81" s="35"/>
      <c r="B81" s="35"/>
      <c r="C81" s="35"/>
      <c r="D81" s="35"/>
      <c r="E81" s="35"/>
      <c r="F81" s="35"/>
      <c r="G81" s="35"/>
      <c r="H81" s="35"/>
      <c r="I81" s="35"/>
      <c r="J81" s="35"/>
      <c r="K81" s="35"/>
      <c r="L81" s="35"/>
      <c r="M81" s="37"/>
      <c r="N81" s="37"/>
      <c r="O81" s="35"/>
      <c r="P81" s="35"/>
      <c r="Q81" s="35"/>
      <c r="R81" s="35"/>
      <c r="S81" s="35"/>
      <c r="T81" s="3"/>
      <c r="U81" s="3"/>
      <c r="V81" s="3"/>
      <c r="W81" s="7" t="str">
        <f>IF(R69=TRUE,"trebaserte plater",IF(S69=TRUE,"veggkledninger",IF(U69=TRUE,"lim",IF(V69=TRUE,"XPS, EPS og cellegummi",""))))</f>
        <v/>
      </c>
      <c r="X81" s="7" t="str">
        <f>IF($R$69=TRUE,"1.a",IF($S$69=TRUE,"H1.",IF($T$69=TRUE,"1.",IF($U$69=TRUE,"1.",IF(V69=TRUE,"1.","")))))</f>
        <v/>
      </c>
      <c r="Y81" s="7" t="str">
        <f>IF($R$69=TRUE,"Produktet kan klassifiseres som E1 iht. testmetode EN 717-1:2004",IF($S$69=TRUE,"Grenseverdier for utslipp:",IF($T$69=TRUE,"Bisfenol A",IF($U$69=TRUE,"Bisfenol A",IF(V69=TRUE,"Bromerte flammehemmere (HBCD, TBBPA)","")))))</f>
        <v/>
      </c>
      <c r="Z81" s="7" t="str">
        <f>IF($R$69=TRUE,"EN 13986:2002
EN 717-1:2004","")</f>
        <v/>
      </c>
      <c r="AA81" s="152"/>
      <c r="AB81" s="4" t="str">
        <f>IF($R$69=TRUE,"1.b",IF($T$69=TRUE,"2.",IF($U$69=TRUE,"2.","")))</f>
        <v/>
      </c>
      <c r="AC81" s="4" t="str">
        <f>IF(S69=TRUE,"TVOC: 200 μg/m²h (tilsvarer 417 μg/m³) etter 28 dager,",IF($R$69=TRUE,"Undertegnede kan bekrefte at produktet ikke er tilsatt noen materialer som inneholder formaldehyd under produksjon eller ved bearbeiding etter produksjonen. Disse kan klassifiseres som E1 uten prøving",IF($T$69=TRUE,"Ftalatene DEHP, BBP og DBP",IF($U$69=TRUE,"Ftalatene DEHP, BBP og DBP",""))))</f>
        <v/>
      </c>
      <c r="AD81" s="4" t="str">
        <f>IF($R$69=TRUE,"NS-EN 13986:2002",IF($R$69=TRUE,"EN 13986:2002
EN 717-1:2004",IF(S69=TRUE,"NS-EN 15251: 2007
NS-EN 233:1999, 5.7 "&amp;" 
NS-EN 234:1997, 9.0
NS-EN 259-1:2001, 4.5 – 4.7","")))</f>
        <v/>
      </c>
      <c r="AE81" s="150"/>
      <c r="AF81" s="4" t="str">
        <f>IF($R$69=TRUE,"2.",IF($T$69=TRUE,"3.",IF($U$69=TRUE,"3.","")))</f>
        <v/>
      </c>
      <c r="AG81" s="4" t="str">
        <f>IF(S69=TRUE,"FORMALDEHYD: 62 μg/m²h (tilsvarer 50 μg/m³) etter 3 dager eller 50 μg/m²h (tilsvarer 104 μg/m³) etter 28 dager,",IF($R$69=TRUE,"Produktet har en emisjonstest som viser at emisjoner av TVOC er under 0,2 mg/m²h",IF($T$69=TRUE,"Klorparafiner",IF($U$69=TRUE,"Klorparafiner",""))))</f>
        <v/>
      </c>
      <c r="AH81" s="4" t="str">
        <f>IF($R$69=TRUE,"NS-EN 15251:2007",IF(S69=TRUE,"NS-EN 15251: 2007
NS-EN 233:1999, 5.7 "&amp;" 
NS-EN 234:1997, 9.0
NS-EN 259-1:2001, 4.5 – 4.7",""))</f>
        <v/>
      </c>
      <c r="AI81" s="153"/>
      <c r="AJ81" s="153"/>
      <c r="AK81" s="4" t="str">
        <f>IF($R$69=TRUE,"3.",IF($T$69=TRUE,"4.",IF($U$69=TRUE,"4.","")))</f>
        <v/>
      </c>
      <c r="AL81" s="4" t="str">
        <f>IF(S69=TRUE,"KREFTFREMKALLENDE: 5 μg/m²h (tilsvarer 10 μg/m³) etter 28 dager.",IF($R$69=TRUE,"Produktet har ikke en emisjonstest som måler emisjoner av ammoniakk, men undertegnede kan bekrefte at ammoniakk ikke er sporbart aktivt i produktet, og at produktet ikke inneholder stoffer som kan avspaltes til ammoniakk",IF($T$69=TRUE,"Krom","")))</f>
        <v/>
      </c>
      <c r="AM81" s="4" t="str">
        <f>IF($R$69=TRUE,
"EN 717-1:2004
EN 13999-2:2007
EN 13999-3:2007
EN 13999-4:2007
EN 12149:1997",IF(S69=TRUE,"NS-EN 15251: 2007
NS-EN 233:1999, 5.7 "&amp;" 
NS-EN 234:1997, 9.0
NS-EN 259-1:2001, 4.5 – 4.7",""))</f>
        <v/>
      </c>
      <c r="AN81" s="153"/>
      <c r="AO81" s="4" t="str">
        <f>IF($S$69=TRUE,"H2.",IF($R$69=TRUE,"4.a",IF($T$69=TRUE,"5.",IF($U$69=TRUE,"5.",""))))</f>
        <v/>
      </c>
      <c r="AP81" s="4" t="str">
        <f>IF(S69=TRUE,"Migrering av tungmetaller:
Antimon – ingen øvre grenseverdi, 
Arsen 25 mg/kg, Barium 500 mg/kg, 
Kadmium 25 mg/kg, Krom 60 mg/kg, Bly 90 mg/kg, 
Kvikksølv 20 mg/kg, Selen 165 mg/kg",IF($R$69=TRUE,"Produktet har en emisjonstest som viser at emisjoner av ammoniakk er under 0,03 mg/m²h",IF($T$69=TRUE,"Oktyl-nonylfenoler",IF($U$69=TRUE,"Oktyl-nonylfenoler",""))))</f>
        <v/>
      </c>
      <c r="AQ81" s="4" t="str">
        <f>IF($R$69=TRUE,"NS-EN 15251:2007",IF(S69=TRUE,"NS-EN 15102:2007, tabell 2, NS-EN 15251: 2007
NS-EN 233:1999, punkt 5.7 "&amp;" 
NS-EN 234:1997, punkt 9.0
NS-EN 259-1:2001, punkt 4.5 – 4.7",""))</f>
        <v/>
      </c>
      <c r="AR81" s="153"/>
      <c r="AS81" s="4" t="str">
        <f>IF($R$69=TRUE,"4.b",IF($T$69=TRUE,"6.",""))</f>
        <v/>
      </c>
      <c r="AT81" s="4" t="str">
        <f>IF(S69=TRUE,"Migrering av VCM:
Vinylkloridmonomer (VCM): Pass (innhold &lt; 0,2 mg/kg),",IF($R$69=TRUE,"Produktet har en emisjonstest som viser at misnøye med lukt er under 15 %. 
Gjelder kun hvis relevant for produktet",IF($T$69=TRUE,"Tris(2-kloretyl)fosfat (TCEP)","")))</f>
        <v/>
      </c>
      <c r="AU81" s="4" t="str">
        <f>IF($R$69=TRUE,"NS-EN 15251:2007",IF(S69=TRUE,"NS-EN 15251: 2007
NS-EN 233:1999, punkt 5.7 "&amp;" 
NS-EN 234:1997, punkt 9.0
NS-EN 259-1:2001, punkt 4.5 – 4.7",""))</f>
        <v/>
      </c>
      <c r="AV81" s="153"/>
      <c r="AW81" s="4" t="str">
        <f>IF($R$69=TRUE,"5.","")</f>
        <v/>
      </c>
      <c r="AX81" s="4" t="str">
        <f>IF(S69=TRUE,"Migrering av formaldehyd:
Pass (innhold &lt; 120 mg/kg).",IF($R$69=TRUE,"Produktet har en emisjonstest som viser at emisjoner av kreftfremkallende forbindelser (IARC) er under 0,005 mg/m²h",""))</f>
        <v/>
      </c>
      <c r="AY81" s="4" t="str">
        <f>IF($R$69=TRUE,"NS-EN 15251:2007","")</f>
        <v/>
      </c>
      <c r="AZ81" s="4"/>
      <c r="BA81" s="4" t="str">
        <f>IF($R$69=TRUE,"6.","")</f>
        <v/>
      </c>
      <c r="BB81" s="4" t="str">
        <f>IF($R$69=TRUE,"Produktet har en emisjonstest som viser at emisjoner av formaldehyd er under 0,05 mg/m²h","")</f>
        <v/>
      </c>
      <c r="BC81" s="4" t="str">
        <f>IF($R$69=TRUE,"NS-EN 15251:2007","")</f>
        <v/>
      </c>
      <c r="BD81" s="4"/>
      <c r="BE81" s="4" t="str">
        <f>IF($R$69=TRUE,"7.","")</f>
        <v/>
      </c>
      <c r="BF81" s="4" t="str">
        <f>IF($R$69=TRUE,"Testene i punkt 2 – 6 er utført iht. ISO 16000-serien med målinger gjort etter 28 dager","")</f>
        <v/>
      </c>
      <c r="BG81" s="4" t="str">
        <f>IF($R$69=TRUE,"ISO 16000","")</f>
        <v/>
      </c>
      <c r="BH81" s="4"/>
      <c r="BI81" s="4" t="str">
        <f>IF($R$69=TRUE,"8.","")</f>
        <v/>
      </c>
      <c r="BJ81" s="4" t="str">
        <f>IF($R$69=TRUE,"Undertegnede kan bekrefte fravær av regulerte treimpregneringsmidler og at minimumsnivå er overholdt","")</f>
        <v/>
      </c>
      <c r="BK81" s="4" t="str">
        <f>IF($R$69=TRUE,"NS-EN 13986:2002","")</f>
        <v/>
      </c>
      <c r="BL81" s="4"/>
      <c r="BM81" s="4"/>
      <c r="BN81" s="4"/>
      <c r="BO81" s="4"/>
      <c r="BP81" s="3"/>
      <c r="BQ81" s="3"/>
      <c r="BR81" s="3"/>
      <c r="BS81" s="3"/>
      <c r="BT81" s="3"/>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row>
    <row r="82" spans="1:137" ht="15" customHeight="1">
      <c r="A82" s="14"/>
      <c r="B82" s="57"/>
      <c r="C82" s="51" t="str">
        <f>IF(AND(V5=2,R48=2),"Stoffer som skal unngås:",IF(AND(V5=3,R48=2),"Stoffer som skal unngås:",IF(AND(V5=2,R48=3),"Dokumentasjonskrav:",IF(OR(S62=TRUE,S63=TRUE,S64=TRUE,S65=TRUE,S66=TRUE,S67=TRUE,S68=TRUE,S69=TRUE,S70=TRUE,S71=TRUE),"Ytelseskrav:",""))))</f>
        <v/>
      </c>
      <c r="D82" s="57"/>
      <c r="E82" s="57"/>
      <c r="F82" s="57"/>
      <c r="G82" s="57"/>
      <c r="H82" s="57"/>
      <c r="I82" s="51" t="str">
        <f>IF(R48=1,"",IF(R48=2,"",IF(OR(S62=TRUE,S65=TRUE,S66=TRUE,S67=TRUE,S69=TRUE,S70=TRUE,S71=TRUE),"Godkjent ytelsesstandard:",IF(OR(S63=TRUE,S64=TRUE),"Samsvarende prøvestandard(er):",IF(S68=TRUE,"Godkjent prøvestandard:",IF(W59=TRUE,"","Standard:"))))))</f>
        <v/>
      </c>
      <c r="J82" s="57"/>
      <c r="K82" s="51" t="str">
        <f>IF(T84=TRUE,"Godkjent prøvestandard:",IF(K83="","",IF(AND(V5=2,R48=3,R60=7),"",IF(AND(V5=2,R48=3),"",IF(OR(S63=TRUE,S64=TRUE),"Øvrige prøvestandarder:","")))))</f>
        <v/>
      </c>
      <c r="L82" s="57"/>
      <c r="M82" s="68" t="str">
        <f>IF(R48=2,"Finnes stoffet i produktet?",IF(R48=3,"Ytelsen bekreftes:",""))</f>
        <v/>
      </c>
      <c r="N82" s="57"/>
      <c r="O82" s="51" t="str">
        <f>IF(R48=1,"","Kommentar (maks 135 tegn):")</f>
        <v/>
      </c>
      <c r="P82" s="57"/>
      <c r="Q82" s="57"/>
      <c r="R82" s="57"/>
      <c r="S82" s="57"/>
      <c r="T82" s="150" t="b">
        <f>IF(S69=TRUE,TRUE,FALSE)</f>
        <v>0</v>
      </c>
      <c r="U82" s="3" t="s">
        <v>136</v>
      </c>
      <c r="W82" s="7" t="str">
        <f>IF(R70=TRUE,"veggkledninger",IF(S70=TRUE,"fugemasser",IF(V70=TRUE,"lim","")))</f>
        <v/>
      </c>
      <c r="X82" s="7" t="str">
        <f>IF($R$70=TRUE,"1.",IF(S70=TRUE,"I.",IF($T$70=TRUE,"1.",IF($U$70=TRUE,"1.",IF(V70=TRUE,"1.","")))))</f>
        <v/>
      </c>
      <c r="Y82" s="7" t="str">
        <f>IF($R$70=TRUE,"Produktet har en emisjonstest som viser at emisjoner av TVOC er under 0,2 mg/m²h",IF($S$70=TRUE,"Grenseverdier for utslipp:",IF($T$70=TRUE,"Bisfenol A",IF($U$70=TRUE,"Bisfenol A",IF($V$70=TRUE,"Bisfenol A","")))))</f>
        <v/>
      </c>
      <c r="Z82" s="7" t="str">
        <f>IF($R$70=TRUE,"NS-EN 15251:2007","")</f>
        <v/>
      </c>
      <c r="AA82" s="152"/>
      <c r="AB82" s="4" t="str">
        <f>IF($R$70=TRUE,"2.",IF($T$70=TRUE,"2.",IF($U$70=TRUE,"2.",IF($V$70=TRUE,"2.",""))))</f>
        <v/>
      </c>
      <c r="AC82" s="4" t="str">
        <f>IF($S$70=TRUE,"TVOC: 60 μg/m³ etter 28 dager,",IF($R$70=TRUE,"Produktet har en emisjonstest som viser at emisjoner av formaldehyd er under 0,05 mg/m²h",IF($T$70=TRUE,"Ftalater (DEHP)",IF($U$70=TRUE,"Ftalatene DEHP, BBP og DBP",IF($V$70=TRUE,"Bly","")))))</f>
        <v/>
      </c>
      <c r="AD82" s="4" t="str">
        <f>IF(S70=TRUE,"NS-EN 15251:2007",IF($R$70=TRUE,"NS-EN 15251:2007",""))</f>
        <v/>
      </c>
      <c r="AE82" s="150"/>
      <c r="AF82" s="4" t="str">
        <f>IF($R$70=TRUE,"3.a",IF($T$70=TRUE,"3.",IF($U$70=TRUE,"3.",IF($V$70=TRUE,"3.",""))))</f>
        <v/>
      </c>
      <c r="AG82" s="4" t="str">
        <f>IF(S70=TRUE,"FORMALDEHYD: 50 μg/m³ etter 3 dager eller 104 μg/m³ etter 28 dager,",IF($R$70=TRUE,"Produktet har en emisjonstest som viser at emisjoner av ammoniakk er under 0,03 mg/m²h",IF($T$70=TRUE,"Klorparafiner",IF($U$70=TRUE,"Klorparafiner",IF($V$70=TRUE,"Klorerte parafiner","")))))</f>
        <v/>
      </c>
      <c r="AH82" s="4" t="str">
        <f>IF(S70=TRUE,"NS-EN 15251:2007",IF($R$70=TRUE,"NS-EN 15251:2007",""))</f>
        <v/>
      </c>
      <c r="AI82" s="153"/>
      <c r="AJ82" s="153"/>
      <c r="AK82" s="4" t="str">
        <f>IF($R$70=TRUE,"3.b",IF($T$70=TRUE,"4.",IF($U$70=TRUE,"4.",IF($V$70=TRUE,"4.",""))))</f>
        <v/>
      </c>
      <c r="AL82" s="4" t="str">
        <f>IF(S70=TRUE,"KREFTFREMKALLENDE: 1 μg/m³.",IF($R$70=TRUE,"Produktet har ikke en emisjonstest som måler emisjoner av ammoniakk, men undertegnede kan bekrefte at ammoniakk ikke er sporbart aktivt i produktet, og at produktet ikke inneholder stoffer som kan avspaltes til ammoniakk",IF($T$70=TRUE,"Krom",IF($U$70=TRUE,"Krom",IF($V$70=TRUE,"Krom","")))))</f>
        <v/>
      </c>
      <c r="AM82" s="4" t="str">
        <f>IF(S70=TRUE,"NS-EN 15251:2007 (tillegg C)",IF($R$70=TRUE,
"EN 717-1:2004
EN 13999-2:2007
EN 13999-3:2007
EN 13999-4:2007
EN 12149:1997",""))</f>
        <v/>
      </c>
      <c r="AN82" s="153"/>
      <c r="AO82" s="4" t="str">
        <f>IF($R$70=TRUE,"4.",IF($T$70=TRUE,"5.",IF($U$70=TRUE,"5.",IF($V$70=TRUE,"5.",""))))</f>
        <v/>
      </c>
      <c r="AP82" s="4" t="str">
        <f>IF($R$70=TRUE,"Produktet har en emisjonstest som viser at emisjoner av kreftfremkallende forbindelser (IARC) er under 0,005 mg/m²h",IF($T$70=TRUE,"Oktyl-nonylfenoler",IF($U$70=TRUE,"Oktyl-nonylfenoler",IF($V$70=TRUE,"Oktyl-nonylfenoler",""))))</f>
        <v/>
      </c>
      <c r="AQ82" s="4" t="str">
        <f>IF($R$70=TRUE,"NS-EN 15251:2007","")</f>
        <v/>
      </c>
      <c r="AR82" s="153"/>
      <c r="AS82" s="4" t="str">
        <f>IF($R$70=TRUE,"5.",IF($T$70=TRUE,"6.",IF($U$70=TRUE,"6.",IF($V$70=TRUE,"6.",""))))</f>
        <v/>
      </c>
      <c r="AT82" s="4" t="str">
        <f>IF($R$70=TRUE,"Produktet har en emisjonstest som viser at misnøye med lukt er under 15 %.",IF($T$70=TRUE,"Siloksan (D4 og D5)",IF($U$70=TRUE,"Siloksan (D5)",IF($V$70=TRUE,"Tris(2-kloretyl)fosfat (TCEP)",""))))</f>
        <v/>
      </c>
      <c r="AU82" s="4" t="str">
        <f>IF($R$70=TRUE,"NS-EN 15251:2007","")</f>
        <v/>
      </c>
      <c r="AV82" s="153"/>
      <c r="AW82" s="4" t="str">
        <f>IF($R$70=TRUE,"6.","")</f>
        <v/>
      </c>
      <c r="AX82" s="4" t="str">
        <f>IF($R$70=TRUE,"Testene i punkt 1 – 5 er utført iht. ISO 16000-serien med målinger gjort etter 28 dager","")</f>
        <v/>
      </c>
      <c r="AY82" s="4" t="str">
        <f>IF($R$70=TRUE,"ISO 16000","")</f>
        <v/>
      </c>
      <c r="AZ82" s="4"/>
      <c r="BA82" s="4" t="str">
        <f>IF($R$70=TRUE,"7.","")</f>
        <v/>
      </c>
      <c r="BB82" s="4" t="str">
        <f>IF($R$70=TRUE,"Utslippet av formaldehyd og VCM (vinylkloridmonomer) skal være lavt og innenfor EN-standarden for materialet","")</f>
        <v/>
      </c>
      <c r="BC82" s="4" t="str">
        <f>IF($R$70=TRUE,"EN 233:1999, EN 234:1989
EN 259:2001, EN 266:1992
EN 12149:1997","")</f>
        <v/>
      </c>
      <c r="BD82" s="4"/>
      <c r="BE82" s="4" t="str">
        <f>IF($R$70=TRUE,"8.","")</f>
        <v/>
      </c>
      <c r="BF82" s="4" t="str">
        <f>IF($R$70=TRUE,"Migrering av tungmetaller og andre giftige stoffer er innenfor EN-standarden for materialet","")</f>
        <v/>
      </c>
      <c r="BG82" s="4" t="str">
        <f>IF($R$70=TRUE,"EN 12149:1997","")</f>
        <v/>
      </c>
      <c r="BH82" s="4"/>
      <c r="BI82" s="4"/>
      <c r="BJ82" s="4"/>
      <c r="BK82" s="4"/>
      <c r="BL82" s="4"/>
      <c r="BM82" s="4"/>
      <c r="BN82" s="4"/>
      <c r="BO82" s="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row>
    <row r="83" spans="1:137" ht="15" customHeight="1">
      <c r="A83" s="14"/>
      <c r="B83" s="57"/>
      <c r="C83" s="167" t="str">
        <f>IF($R$60=1,"",$X$73)</f>
        <v/>
      </c>
      <c r="D83" s="161" t="str">
        <f>IF($R$60=1,"",$Y$73)</f>
        <v/>
      </c>
      <c r="E83" s="161"/>
      <c r="F83" s="161"/>
      <c r="G83" s="162"/>
      <c r="H83" s="57"/>
      <c r="I83" s="182" t="str">
        <f>IF($R$60=1,"",$Z$73)</f>
        <v/>
      </c>
      <c r="J83" s="161"/>
      <c r="K83" s="161" t="str">
        <f>IF($R$60=1,"",$AA$73)</f>
        <v/>
      </c>
      <c r="L83" s="162"/>
      <c r="M83" s="57"/>
      <c r="N83" s="57"/>
      <c r="O83" s="173"/>
      <c r="P83" s="174"/>
      <c r="Q83" s="174"/>
      <c r="R83" s="175"/>
      <c r="S83" s="138" t="str">
        <f>IF(O83="","",LEN(O83)&amp;" tegn")</f>
        <v/>
      </c>
      <c r="T83" s="150" t="b">
        <f>IF(S62=TRUE,TRUE,FALSE)</f>
        <v>0</v>
      </c>
      <c r="U83" s="3" t="s">
        <v>135</v>
      </c>
      <c r="W83" s="3" t="str">
        <f>IF(S71=TRUE,"gulvprodukter",IF(T71=TRUE,"maling, beis og lakk",IF(U71=TRUE,"maling, beis og lakk",IF(V71=TRUE,"sparkel, fugemasse og -skum",""))))</f>
        <v/>
      </c>
      <c r="X83" s="7" t="str">
        <f>IF(S71=TRUE,"J.",IF($T$71=TRUE,"1.",IF($U$71=TRUE,"1.",IF(V71=TRUE,"1.",""))))</f>
        <v/>
      </c>
      <c r="Y83" s="7" t="str">
        <f>IF($T$71=TRUE,"Bisfenol A",IF($U$71=TRUE,"Bisfenol A",IF($S$71=TRUE,"Grenseverdier for utslipp for alle produkter:",IF($V$71=TRUE,"Bisfenol A",""))))</f>
        <v/>
      </c>
      <c r="Z83" s="7"/>
      <c r="AA83" s="152"/>
      <c r="AB83" s="4" t="str">
        <f>IF($T$71=TRUE,"2.",IF($U$71=TRUE,"2.",IF(V71=TRUE,"2.","")))</f>
        <v/>
      </c>
      <c r="AC83" s="4" t="str">
        <f>IF(S71=TRUE,"TVOC: 200 μg/m²h (160 μg/m³) etter 28 dager,",IF($T$71=TRUE,"Ftalat DEHP",IF($U$71=TRUE,"Ftalatene DEHP, BBP og DBP",IF($V$71=TRUE,"Ftalater (DEHP)",""))))</f>
        <v/>
      </c>
      <c r="AD83" s="4" t="str">
        <f>IF($S$71=TRUE,"NS-EN 15251:2007","")</f>
        <v/>
      </c>
      <c r="AE83" s="150"/>
      <c r="AF83" s="4" t="str">
        <f>IF($T$71=TRUE,"3.",IF($U$71=TRUE,"3.",IF(V71=TRUE,"3.","")))</f>
        <v/>
      </c>
      <c r="AG83" s="4" t="str">
        <f>IF(S71=TRUE,"FORMALDEHYD: 62 μg/m²h (50 μg/m³) etter 3 dager eller 50 μg/m²h (40 μg/m³) etter 28 dager,",IF($T$71=TRUE,"Klorparafiner",IF($U$71=TRUE,"Klorparafiner",IF($V$71=TRUE,"Klorerte parafiner",""))))</f>
        <v/>
      </c>
      <c r="AH83" s="4" t="str">
        <f>IF($S$71=TRUE,"NS-EN 15251:2007","")</f>
        <v/>
      </c>
      <c r="AI83" s="153"/>
      <c r="AJ83" s="153"/>
      <c r="AK83" s="4" t="str">
        <f>IF($T$71=TRUE,"4.",IF($U$71=TRUE,"4.",IF(V71=TRUE,"4.","")))</f>
        <v/>
      </c>
      <c r="AL83" s="4" t="str">
        <f>IF(S71=TRUE,"KREFTFREMKALLENDE: 5 μg/m² h (4 μg/m³).",IF($T$71=TRUE,"Krom",IF($U$71=TRUE,"Krom",IF($V$71=TRUE,"Krom",""))))</f>
        <v/>
      </c>
      <c r="AM83" s="4" t="str">
        <f>IF($S$71=TRUE,"NS-EN 15251:2007","")</f>
        <v/>
      </c>
      <c r="AN83" s="153"/>
      <c r="AO83" s="4" t="str">
        <f>IF($T$71=TRUE,"5.",IF($U$71=TRUE,"5.",IF(V71=TRUE,"5.","")))</f>
        <v/>
      </c>
      <c r="AP83" s="4" t="str">
        <f>IF($T$71=TRUE,"Oktyl-nonylfenoler",IF($U$71=TRUE,"Oktyl-nonylfenoler",IF($V$71=TRUE,"Oktyl-nonylfenol","")))</f>
        <v/>
      </c>
      <c r="AQ83" s="4"/>
      <c r="AR83" s="153"/>
      <c r="AS83" s="4" t="str">
        <f>IF($T$71=TRUE,"6.",IF($U$71=TRUE,"6.",IF(V71=TRUE,"6.","")))</f>
        <v/>
      </c>
      <c r="AT83" s="4" t="str">
        <f>IF($T$71=TRUE,"Siloksan (D4 og D5)",IF($U$71=TRUE,"Siloksan (D5)",IF($V$71=TRUE,"Siloksan (D4/D5)","")))</f>
        <v/>
      </c>
      <c r="AU83" s="4"/>
      <c r="AV83" s="153"/>
      <c r="AW83" s="4" t="str">
        <f>IF($T$71=TRUE,"7.",IF($U$71=TRUE,"7.",""))</f>
        <v/>
      </c>
      <c r="AX83" s="4" t="str">
        <f>IF($T$71=TRUE,"Kadmium",IF($U$71=TRUE,"Kadmium",""))</f>
        <v/>
      </c>
      <c r="BA83" s="4" t="str">
        <f>IF($T$71=TRUE,"8.",IF($U$71=TRUE,"8.",""))</f>
        <v/>
      </c>
      <c r="BB83" s="4" t="str">
        <f>IF($T$71=TRUE,"Bly",IF($U$71=TRUE,"Bly",""))</f>
        <v/>
      </c>
      <c r="BE83" s="4" t="str">
        <f>IF($T$71=TRUE,"9.","")</f>
        <v/>
      </c>
      <c r="BF83" s="4" t="str">
        <f>IF($T$71=TRUE,"Tris(2-kloretyl)fosfat (TCEP)","")</f>
        <v/>
      </c>
      <c r="BM83" s="4"/>
      <c r="BN83" s="4"/>
      <c r="BO83" s="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row>
    <row r="84" spans="1:137" ht="15" customHeight="1">
      <c r="A84" s="14"/>
      <c r="B84" s="57"/>
      <c r="C84" s="168"/>
      <c r="D84" s="163"/>
      <c r="E84" s="163"/>
      <c r="F84" s="163"/>
      <c r="G84" s="164"/>
      <c r="H84" s="57"/>
      <c r="I84" s="183"/>
      <c r="J84" s="163"/>
      <c r="K84" s="163"/>
      <c r="L84" s="164"/>
      <c r="M84" s="72"/>
      <c r="N84" s="57"/>
      <c r="O84" s="176"/>
      <c r="P84" s="177"/>
      <c r="Q84" s="177"/>
      <c r="R84" s="178"/>
      <c r="S84" s="133"/>
      <c r="T84" s="150" t="b">
        <f>IF(OR(S65=TRUE,S66=TRUE,S67=TRUE,S68=TRUE,S69=TRUE,S70=TRUE,S71=TRUE),TRUE,FALSE)</f>
        <v>0</v>
      </c>
      <c r="U84" s="3" t="s">
        <v>134</v>
      </c>
      <c r="W84" s="3" t="str">
        <f>IF(V72=TRUE,"maling, beis og lakk","")</f>
        <v/>
      </c>
      <c r="X84" s="3" t="str">
        <f>IF(V72=TRUE,"1.","")</f>
        <v/>
      </c>
      <c r="Y84" s="3" t="str">
        <f>IF($V$72=TRUE,"Bisfenol A","")</f>
        <v/>
      </c>
      <c r="AA84" s="150"/>
      <c r="AB84" s="3" t="str">
        <f>IF(V72=TRUE,"2.","")</f>
        <v/>
      </c>
      <c r="AC84" s="3" t="str">
        <f>IF($V$72=TRUE,"Bly","")</f>
        <v/>
      </c>
      <c r="AE84" s="150"/>
      <c r="AF84" s="3" t="str">
        <f>IF(V72=TRUE,"3.","")</f>
        <v/>
      </c>
      <c r="AG84" s="3" t="str">
        <f>IF($V$72=TRUE,"Klorerte parafiner","")</f>
        <v/>
      </c>
      <c r="AI84" s="150"/>
      <c r="AJ84" s="150"/>
      <c r="AK84" s="3" t="str">
        <f>IF(V72=TRUE,"4.","")</f>
        <v/>
      </c>
      <c r="AL84" s="3" t="str">
        <f>IF($V$72=TRUE,"Kadmium","")</f>
        <v/>
      </c>
      <c r="AN84" s="150"/>
      <c r="AO84" s="3" t="str">
        <f>IF(V72=TRUE,"5.","")</f>
        <v/>
      </c>
      <c r="AP84" s="3" t="str">
        <f>IF($V$72=TRUE,"Oktyl-nonylfenol","")</f>
        <v/>
      </c>
      <c r="AR84" s="150"/>
      <c r="AS84" s="3" t="str">
        <f>IF(V72=TRUE,"6.","")</f>
        <v/>
      </c>
      <c r="AT84" s="3" t="str">
        <f>IF($V$72=TRUE,"Siloksan (D4/D5)","")</f>
        <v/>
      </c>
      <c r="AV84" s="150"/>
      <c r="AW84" s="3" t="str">
        <f>IF(V72=TRUE,"7.","")</f>
        <v/>
      </c>
      <c r="AX84" s="3" t="str">
        <f>IF($V$72=TRUE,"Krom","")</f>
        <v/>
      </c>
      <c r="BA84" s="3" t="str">
        <f>IF(V72=TRUE,"8.","")</f>
        <v/>
      </c>
      <c r="BB84" s="3" t="str">
        <f>IF($V$72=TRUE,"PFOS/PFOA/PFCA","")</f>
        <v/>
      </c>
      <c r="BE84" s="3" t="str">
        <f>IF(V72=TRUE,"9.","")</f>
        <v/>
      </c>
      <c r="BF84" s="3" t="str">
        <f>IF($V$72=TRUE,"Ftalater (DEHP)","")</f>
        <v/>
      </c>
      <c r="BM84" s="4"/>
      <c r="BN84" s="4"/>
      <c r="BO84" s="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row>
    <row r="85" spans="1:137" ht="15" customHeight="1">
      <c r="A85" s="14"/>
      <c r="B85" s="57"/>
      <c r="C85" s="168"/>
      <c r="D85" s="163"/>
      <c r="E85" s="163"/>
      <c r="F85" s="163"/>
      <c r="G85" s="164"/>
      <c r="H85" s="57"/>
      <c r="I85" s="183"/>
      <c r="J85" s="163"/>
      <c r="K85" s="163"/>
      <c r="L85" s="164"/>
      <c r="M85" s="241" t="str">
        <f>IF(D83="","",IF(OR(T82=TRUE,T84=TRUE),"","JA"))</f>
        <v/>
      </c>
      <c r="N85" s="221" t="str">
        <f>IF(D83="","",IF(OR(T82=TRUE,T84=TRUE),"","NEI"))</f>
        <v/>
      </c>
      <c r="O85" s="176"/>
      <c r="P85" s="177"/>
      <c r="Q85" s="177"/>
      <c r="R85" s="178"/>
      <c r="S85" s="133"/>
      <c r="W85" s="28" t="str">
        <f>CONCATENATE(W74,W75,W76,W77,W78,W79,W80,W81,W82,W83,W84)</f>
        <v/>
      </c>
      <c r="X85" s="28" t="str">
        <f t="shared" ref="X85:BL85" si="2">CONCATENATE(X74,X75,X76,X77,X78,X79,X80,X81,X82,X83,X84)</f>
        <v/>
      </c>
      <c r="Y85" s="28" t="str">
        <f>CONCATENATE(Y74,Y75,Y76,Y77,Y78,Y79,Y80,Y81,Y82,Y83,Y84)</f>
        <v/>
      </c>
      <c r="Z85" s="28" t="str">
        <f t="shared" si="2"/>
        <v/>
      </c>
      <c r="AA85" s="28"/>
      <c r="AB85" s="28" t="str">
        <f t="shared" si="2"/>
        <v/>
      </c>
      <c r="AC85" s="28" t="str">
        <f t="shared" si="2"/>
        <v/>
      </c>
      <c r="AD85" s="28" t="str">
        <f t="shared" si="2"/>
        <v/>
      </c>
      <c r="AE85" s="28"/>
      <c r="AF85" s="28" t="str">
        <f t="shared" si="2"/>
        <v/>
      </c>
      <c r="AG85" s="28" t="str">
        <f t="shared" si="2"/>
        <v/>
      </c>
      <c r="AH85" s="28" t="str">
        <f t="shared" si="2"/>
        <v/>
      </c>
      <c r="AI85" s="28" t="str">
        <f t="shared" si="2"/>
        <v/>
      </c>
      <c r="AJ85" s="28" t="str">
        <f t="shared" si="2"/>
        <v/>
      </c>
      <c r="AK85" s="28" t="str">
        <f t="shared" si="2"/>
        <v/>
      </c>
      <c r="AL85" s="28" t="str">
        <f t="shared" si="2"/>
        <v/>
      </c>
      <c r="AM85" s="28" t="str">
        <f t="shared" si="2"/>
        <v/>
      </c>
      <c r="AN85" s="28" t="str">
        <f t="shared" si="2"/>
        <v/>
      </c>
      <c r="AO85" s="28" t="str">
        <f t="shared" si="2"/>
        <v/>
      </c>
      <c r="AP85" s="28" t="str">
        <f>CONCATENATE(AP74,AP75,AP76,AP77,AP78,AP79,AP80,AP81,AP82,AP83,AP84)</f>
        <v/>
      </c>
      <c r="AQ85" s="28" t="str">
        <f t="shared" si="2"/>
        <v/>
      </c>
      <c r="AR85" s="28" t="str">
        <f t="shared" si="2"/>
        <v/>
      </c>
      <c r="AS85" s="28" t="str">
        <f t="shared" si="2"/>
        <v/>
      </c>
      <c r="AT85" s="28" t="str">
        <f t="shared" si="2"/>
        <v/>
      </c>
      <c r="AU85" s="28" t="str">
        <f t="shared" si="2"/>
        <v/>
      </c>
      <c r="AV85" s="28" t="str">
        <f t="shared" si="2"/>
        <v/>
      </c>
      <c r="AW85" s="28" t="str">
        <f t="shared" si="2"/>
        <v/>
      </c>
      <c r="AX85" s="28" t="str">
        <f t="shared" si="2"/>
        <v/>
      </c>
      <c r="AY85" s="28" t="str">
        <f t="shared" si="2"/>
        <v/>
      </c>
      <c r="AZ85" s="28" t="str">
        <f t="shared" si="2"/>
        <v/>
      </c>
      <c r="BA85" s="28" t="str">
        <f t="shared" si="2"/>
        <v/>
      </c>
      <c r="BB85" s="28" t="str">
        <f>CONCATENATE(BB74,BB75,BB76,BB77,BB78,BB79,BB80,BB81,BB82,BB83,BB84)</f>
        <v/>
      </c>
      <c r="BC85" s="28" t="str">
        <f>CONCATENATE(BC74,BC75,BC76,BC77,BC78,BC79,BC80,BC81,BC82,BC83,BC84)</f>
        <v/>
      </c>
      <c r="BD85" s="28" t="str">
        <f t="shared" si="2"/>
        <v/>
      </c>
      <c r="BE85" s="28" t="str">
        <f t="shared" si="2"/>
        <v/>
      </c>
      <c r="BF85" s="28" t="str">
        <f t="shared" si="2"/>
        <v/>
      </c>
      <c r="BG85" s="28" t="str">
        <f t="shared" si="2"/>
        <v/>
      </c>
      <c r="BH85" s="28" t="str">
        <f t="shared" si="2"/>
        <v/>
      </c>
      <c r="BI85" s="28" t="str">
        <f t="shared" si="2"/>
        <v/>
      </c>
      <c r="BJ85" s="28" t="str">
        <f t="shared" si="2"/>
        <v/>
      </c>
      <c r="BK85" s="28" t="str">
        <f t="shared" si="2"/>
        <v/>
      </c>
      <c r="BL85" s="28" t="str">
        <f t="shared" si="2"/>
        <v/>
      </c>
      <c r="BM85" s="4"/>
      <c r="BN85" s="4"/>
      <c r="BO85" s="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row>
    <row r="86" spans="1:137" ht="15" customHeight="1">
      <c r="A86" s="14"/>
      <c r="B86" s="57"/>
      <c r="C86" s="168"/>
      <c r="D86" s="163"/>
      <c r="E86" s="163"/>
      <c r="F86" s="163"/>
      <c r="G86" s="164"/>
      <c r="H86" s="57"/>
      <c r="I86" s="183"/>
      <c r="J86" s="163"/>
      <c r="K86" s="163"/>
      <c r="L86" s="164"/>
      <c r="M86" s="241"/>
      <c r="N86" s="221"/>
      <c r="O86" s="176"/>
      <c r="P86" s="177"/>
      <c r="Q86" s="177"/>
      <c r="R86" s="178"/>
      <c r="S86" s="133"/>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row>
    <row r="87" spans="1:137" ht="15" customHeight="1">
      <c r="A87" s="14"/>
      <c r="B87" s="57"/>
      <c r="C87" s="168"/>
      <c r="D87" s="163"/>
      <c r="E87" s="163"/>
      <c r="F87" s="163"/>
      <c r="G87" s="164"/>
      <c r="H87" s="57"/>
      <c r="I87" s="183"/>
      <c r="J87" s="163"/>
      <c r="K87" s="163"/>
      <c r="L87" s="164"/>
      <c r="M87" s="57"/>
      <c r="N87" s="57"/>
      <c r="O87" s="176"/>
      <c r="P87" s="177"/>
      <c r="Q87" s="177"/>
      <c r="R87" s="178"/>
      <c r="S87" s="133"/>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row>
    <row r="88" spans="1:137" ht="15" customHeight="1">
      <c r="A88" s="14"/>
      <c r="B88" s="57"/>
      <c r="C88" s="169"/>
      <c r="D88" s="165"/>
      <c r="E88" s="165"/>
      <c r="F88" s="165"/>
      <c r="G88" s="166"/>
      <c r="H88" s="57"/>
      <c r="I88" s="184"/>
      <c r="J88" s="165"/>
      <c r="K88" s="165"/>
      <c r="L88" s="166"/>
      <c r="M88" s="57"/>
      <c r="N88" s="57"/>
      <c r="O88" s="179"/>
      <c r="P88" s="180"/>
      <c r="Q88" s="180"/>
      <c r="R88" s="181"/>
      <c r="S88" s="133"/>
      <c r="T88" s="3">
        <v>2</v>
      </c>
      <c r="U88" s="60" t="str">
        <f>IF(D83="","",IF(OR(T82=TRUE,T83=TRUE,T84=TRUE),FALSE,IF(T88=1,TRUE,IF(T88=2,FALSE,"IR"))))</f>
        <v/>
      </c>
      <c r="V88" s="3">
        <f>IF(OR(T82=TRUE,T84=TRUE),0,IF(U88=TRUE,1,IF(U88=FALSE,1,0)))</f>
        <v>0</v>
      </c>
      <c r="W88" s="4" t="str">
        <f>IF(U88="","",IF(U88=TRUE,"Ja",IF(U88=FALSE,"Nei","Ikke relevant")))</f>
        <v/>
      </c>
      <c r="X88" s="4"/>
      <c r="Y88" s="4"/>
      <c r="Z88" s="21"/>
      <c r="AA88" s="21"/>
      <c r="AD88" s="22"/>
      <c r="AE88" s="22"/>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row>
    <row r="89" spans="1:137" ht="15" customHeight="1">
      <c r="A89" s="14"/>
      <c r="B89" s="57"/>
      <c r="C89" s="57"/>
      <c r="D89" s="57"/>
      <c r="E89" s="57"/>
      <c r="F89" s="57"/>
      <c r="G89" s="57"/>
      <c r="H89" s="57"/>
      <c r="I89" s="57"/>
      <c r="J89" s="57"/>
      <c r="K89" s="57"/>
      <c r="L89" s="57"/>
      <c r="M89" s="57"/>
      <c r="N89" s="57"/>
      <c r="O89" s="57"/>
      <c r="P89" s="57"/>
      <c r="Q89" s="57"/>
      <c r="R89" s="57"/>
      <c r="S89" s="132" t="str">
        <f>IF(OR(T64=TRUE,U64=TRUE,T65=TRUE,U65=TRUE,T68=TRUE,U68=TRUE,V64=TRUE,V69=TRUE),"Til utskrift","")</f>
        <v/>
      </c>
      <c r="X89" s="42" t="b">
        <f>IF(D83="",FALSE,TRUE)</f>
        <v>0</v>
      </c>
      <c r="Y89" s="42" t="b">
        <f>IF(I83="",FALSE,TRUE)</f>
        <v>0</v>
      </c>
      <c r="Z89" s="42" t="b">
        <f>IF(K83="",FALSE,TRUE)</f>
        <v>0</v>
      </c>
      <c r="AA89" s="42" t="b">
        <f>IF(Y89=FALSE,FALSE,OR(Y89,Z89))</f>
        <v>0</v>
      </c>
      <c r="BU89" s="87"/>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4"/>
      <c r="DH89" s="44"/>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row>
    <row r="90" spans="1:137" ht="15" customHeight="1">
      <c r="A90" s="14"/>
      <c r="B90" s="57"/>
      <c r="C90" s="167" t="str">
        <f>IF($R$60=1,"",$AB$73)</f>
        <v/>
      </c>
      <c r="D90" s="161" t="str">
        <f>IF($R$60=1,"",$AC$73)</f>
        <v/>
      </c>
      <c r="E90" s="161"/>
      <c r="F90" s="161"/>
      <c r="G90" s="162"/>
      <c r="H90" s="57"/>
      <c r="I90" s="182" t="str">
        <f>IF($R$60=1,"",$AD$73)</f>
        <v/>
      </c>
      <c r="J90" s="161"/>
      <c r="K90" s="161" t="str">
        <f>IF($R$60=1,"",$AE$73)</f>
        <v/>
      </c>
      <c r="L90" s="162"/>
      <c r="M90" s="57"/>
      <c r="N90" s="57"/>
      <c r="O90" s="173"/>
      <c r="P90" s="174"/>
      <c r="Q90" s="174"/>
      <c r="R90" s="175"/>
      <c r="S90" s="138" t="str">
        <f>IF(O90="","",LEN(O90)&amp;" tegn")</f>
        <v/>
      </c>
      <c r="X90" s="42" t="b">
        <f>IF(D90="",FALSE,TRUE)</f>
        <v>0</v>
      </c>
      <c r="Y90" s="42" t="b">
        <f>IF(I90="",FALSE,TRUE)</f>
        <v>0</v>
      </c>
      <c r="Z90" s="42" t="b">
        <f>IF(K90="",FALSE,TRUE)</f>
        <v>0</v>
      </c>
      <c r="AA90" s="42" t="b">
        <f>IF(Y90=FALSE,FALSE,OR(Y90,Z90))</f>
        <v>0</v>
      </c>
      <c r="AD90" s="22"/>
      <c r="AE90" s="22"/>
      <c r="AF90" s="22"/>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row>
    <row r="91" spans="1:137" ht="15" customHeight="1">
      <c r="A91" s="14"/>
      <c r="B91" s="57"/>
      <c r="C91" s="168"/>
      <c r="D91" s="163"/>
      <c r="E91" s="163"/>
      <c r="F91" s="163"/>
      <c r="G91" s="164"/>
      <c r="H91" s="57"/>
      <c r="I91" s="183"/>
      <c r="J91" s="163"/>
      <c r="K91" s="163"/>
      <c r="L91" s="164"/>
      <c r="M91" s="57"/>
      <c r="N91" s="57"/>
      <c r="O91" s="176"/>
      <c r="P91" s="177"/>
      <c r="Q91" s="177"/>
      <c r="R91" s="178"/>
      <c r="S91" s="133"/>
      <c r="X91" s="42" t="b">
        <f>IF(D97="",FALSE,TRUE)</f>
        <v>0</v>
      </c>
      <c r="Y91" s="42" t="b">
        <f>IF(I97="",FALSE,TRUE)</f>
        <v>0</v>
      </c>
      <c r="Z91" s="42" t="b">
        <f>IF(K97="",FALSE,TRUE)</f>
        <v>0</v>
      </c>
      <c r="AA91" s="3" t="b">
        <v>0</v>
      </c>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row>
    <row r="92" spans="1:137" ht="15" customHeight="1">
      <c r="A92" s="14"/>
      <c r="B92" s="57"/>
      <c r="C92" s="168"/>
      <c r="D92" s="163"/>
      <c r="E92" s="163"/>
      <c r="F92" s="163"/>
      <c r="G92" s="164"/>
      <c r="H92" s="57"/>
      <c r="I92" s="183"/>
      <c r="J92" s="163"/>
      <c r="K92" s="163"/>
      <c r="L92" s="164"/>
      <c r="M92" s="241" t="str">
        <f>IF(D90="","",IF(S62=TRUE,"","JA"))</f>
        <v/>
      </c>
      <c r="N92" s="221" t="str">
        <f>IF(D90="","",IF(S62=TRUE,"","NEI"))</f>
        <v/>
      </c>
      <c r="O92" s="176"/>
      <c r="P92" s="177"/>
      <c r="Q92" s="177"/>
      <c r="R92" s="178"/>
      <c r="S92" s="133"/>
      <c r="T92" s="3">
        <v>2</v>
      </c>
      <c r="U92" s="60" t="str">
        <f>IF(D90="","",IF(S62=TRUE,FALSE,IF(T92=1,TRUE,IF(T92=2,FALSE,"IR"))))</f>
        <v/>
      </c>
      <c r="V92" s="3">
        <f>IF(W97=TRUE,0,IF(U92=TRUE,1,IF(U92=FALSE,1,0)))</f>
        <v>0</v>
      </c>
      <c r="W92" s="3" t="str">
        <f>IF(U92="","",IF(W97=TRUE,"",IF(U92=TRUE,"Ja",IF(U92=FALSE,"Nei","Ikke relevant"))))</f>
        <v/>
      </c>
      <c r="X92" s="42" t="b">
        <f>IF(D104="",FALSE,TRUE)</f>
        <v>0</v>
      </c>
      <c r="Y92" s="42" t="b">
        <f>IF(I104="",FALSE,TRUE)</f>
        <v>0</v>
      </c>
      <c r="Z92" s="42" t="b">
        <f>IF(K104="",FALSE,TRUE)</f>
        <v>0</v>
      </c>
      <c r="AA92" s="42" t="b">
        <f>IF(Y92=FALSE,FALSE,OR(Y92,Z92))</f>
        <v>0</v>
      </c>
      <c r="BU92" s="87"/>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row>
    <row r="93" spans="1:137" ht="15.75">
      <c r="A93" s="14"/>
      <c r="B93" s="57"/>
      <c r="C93" s="168"/>
      <c r="D93" s="163"/>
      <c r="E93" s="163"/>
      <c r="F93" s="163"/>
      <c r="G93" s="164"/>
      <c r="H93" s="57"/>
      <c r="I93" s="183"/>
      <c r="J93" s="163"/>
      <c r="K93" s="163"/>
      <c r="L93" s="164"/>
      <c r="M93" s="241"/>
      <c r="N93" s="221"/>
      <c r="O93" s="176"/>
      <c r="P93" s="177"/>
      <c r="Q93" s="177"/>
      <c r="R93" s="178"/>
      <c r="S93" s="133"/>
      <c r="X93" s="42" t="b">
        <f>IF(D111="",FALSE,TRUE)</f>
        <v>0</v>
      </c>
      <c r="Y93" s="42" t="b">
        <f>IF(I111="",FALSE,TRUE)</f>
        <v>0</v>
      </c>
      <c r="Z93" s="42" t="b">
        <f>IF(K111="",FALSE,TRUE)</f>
        <v>0</v>
      </c>
      <c r="AA93" s="3" t="b">
        <v>0</v>
      </c>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row>
    <row r="94" spans="1:137" ht="15.75">
      <c r="A94" s="14"/>
      <c r="B94" s="57"/>
      <c r="C94" s="168"/>
      <c r="D94" s="163"/>
      <c r="E94" s="163"/>
      <c r="F94" s="163"/>
      <c r="G94" s="164"/>
      <c r="H94" s="57"/>
      <c r="I94" s="183"/>
      <c r="J94" s="163"/>
      <c r="K94" s="163"/>
      <c r="L94" s="164"/>
      <c r="M94" s="57"/>
      <c r="N94" s="57"/>
      <c r="O94" s="176"/>
      <c r="P94" s="177"/>
      <c r="Q94" s="177"/>
      <c r="R94" s="178"/>
      <c r="S94" s="133"/>
      <c r="X94" s="42" t="b">
        <f>IF(D118="",FALSE,TRUE)</f>
        <v>0</v>
      </c>
      <c r="Y94" s="42" t="b">
        <f>IF(I118="",FALSE,TRUE)</f>
        <v>0</v>
      </c>
      <c r="Z94" s="42" t="b">
        <f>IF(K118="",FALSE,TRUE)</f>
        <v>0</v>
      </c>
      <c r="AA94" s="3" t="b">
        <v>0</v>
      </c>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row>
    <row r="95" spans="1:137" ht="15.75">
      <c r="A95" s="14"/>
      <c r="B95" s="57"/>
      <c r="C95" s="169"/>
      <c r="D95" s="165"/>
      <c r="E95" s="165"/>
      <c r="F95" s="165"/>
      <c r="G95" s="166"/>
      <c r="H95" s="57"/>
      <c r="I95" s="184"/>
      <c r="J95" s="165"/>
      <c r="K95" s="165"/>
      <c r="L95" s="166"/>
      <c r="M95" s="57"/>
      <c r="N95" s="57"/>
      <c r="O95" s="179"/>
      <c r="P95" s="180"/>
      <c r="Q95" s="180"/>
      <c r="R95" s="181"/>
      <c r="S95" s="132" t="str">
        <f>IF(R67=TRUE,"Til deklarering","")</f>
        <v/>
      </c>
      <c r="W95" s="60" t="b">
        <f>IF(AND($V$5=3,$R$48=3,$R$60=2),TRUE,FALSE)</f>
        <v>0</v>
      </c>
      <c r="X95" s="42" t="b">
        <f>IF(D125="",FALSE,TRUE)</f>
        <v>0</v>
      </c>
      <c r="Y95" s="42" t="b">
        <f>IF(I125="",FALSE,TRUE)</f>
        <v>0</v>
      </c>
      <c r="Z95" s="42" t="b">
        <f>IF(K125="",FALSE,TRUE)</f>
        <v>0</v>
      </c>
      <c r="AA95" s="3" t="b">
        <v>0</v>
      </c>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row>
    <row r="96" spans="1:137" ht="16.5" thickBot="1">
      <c r="A96" s="14"/>
      <c r="B96" s="57"/>
      <c r="C96" s="57"/>
      <c r="D96" s="57"/>
      <c r="E96" s="57"/>
      <c r="F96" s="57"/>
      <c r="G96" s="57"/>
      <c r="H96" s="57"/>
      <c r="I96" s="57"/>
      <c r="J96" s="57"/>
      <c r="K96" s="57"/>
      <c r="L96" s="57"/>
      <c r="M96" s="57"/>
      <c r="N96" s="57"/>
      <c r="O96" s="57"/>
      <c r="P96" s="57"/>
      <c r="Q96" s="57"/>
      <c r="R96" s="57"/>
      <c r="S96" s="131" t="str">
        <f>IF(OR(S63=TRUE,S64=TRUE),"Til utskrift","")</f>
        <v/>
      </c>
      <c r="W96" s="60" t="b">
        <f>IF(OR(U92="",U102=""),TRUE,OR(U92,U102))</f>
        <v>1</v>
      </c>
      <c r="X96" s="42" t="b">
        <f>IF(D132="",FALSE,TRUE)</f>
        <v>0</v>
      </c>
      <c r="Y96" s="42" t="b">
        <f>IF(I132="",FALSE,TRUE)</f>
        <v>0</v>
      </c>
      <c r="Z96" s="42" t="b">
        <f>IF(K132="",FALSE,TRUE)</f>
        <v>0</v>
      </c>
      <c r="AA96" s="3" t="b">
        <v>0</v>
      </c>
      <c r="BU96" s="87"/>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row>
    <row r="97" spans="1:137" ht="15" customHeight="1" thickBot="1">
      <c r="A97" s="14"/>
      <c r="B97" s="57"/>
      <c r="C97" s="167" t="str">
        <f>IF($R$60=1,"",$AF$73)</f>
        <v/>
      </c>
      <c r="D97" s="161" t="str">
        <f>IF($R$60=1,"",$AG$73)</f>
        <v/>
      </c>
      <c r="E97" s="161"/>
      <c r="F97" s="161"/>
      <c r="G97" s="162"/>
      <c r="H97" s="57"/>
      <c r="I97" s="182" t="str">
        <f>IF($R$60=1,"",$AH$73)</f>
        <v/>
      </c>
      <c r="J97" s="161"/>
      <c r="K97" s="161" t="str">
        <f>IF($R$60=1,"",$AI$73)</f>
        <v/>
      </c>
      <c r="L97" s="162"/>
      <c r="M97" s="57"/>
      <c r="N97" s="57"/>
      <c r="O97" s="173"/>
      <c r="P97" s="174"/>
      <c r="Q97" s="174"/>
      <c r="R97" s="175"/>
      <c r="S97" s="138" t="str">
        <f>IF(O97="","",LEN(O97)&amp;" tegn")</f>
        <v/>
      </c>
      <c r="W97" s="67" t="b">
        <f>AND(W95,W96)</f>
        <v>0</v>
      </c>
      <c r="X97" s="42" t="b">
        <f>IF(D139="",FALSE,TRUE)</f>
        <v>0</v>
      </c>
      <c r="Y97" s="42" t="b">
        <f>IF(I139="",FALSE,TRUE)</f>
        <v>0</v>
      </c>
      <c r="Z97" s="42" t="b">
        <f>IF(K139="",FALSE,TRUE)</f>
        <v>0</v>
      </c>
      <c r="AA97" s="3" t="b">
        <v>0</v>
      </c>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row>
    <row r="98" spans="1:137" ht="15.75">
      <c r="A98" s="14"/>
      <c r="B98" s="57"/>
      <c r="C98" s="168"/>
      <c r="D98" s="163"/>
      <c r="E98" s="163"/>
      <c r="F98" s="163"/>
      <c r="G98" s="164"/>
      <c r="H98" s="57"/>
      <c r="I98" s="183"/>
      <c r="J98" s="163"/>
      <c r="K98" s="163"/>
      <c r="L98" s="164"/>
      <c r="M98" s="57"/>
      <c r="N98" s="57"/>
      <c r="O98" s="176"/>
      <c r="P98" s="177"/>
      <c r="Q98" s="177"/>
      <c r="R98" s="178"/>
      <c r="S98" s="133"/>
      <c r="X98" s="42" t="b">
        <f>IF(D146="",FALSE,TRUE)</f>
        <v>0</v>
      </c>
      <c r="Y98" s="42" t="b">
        <f>IF(I146="",FALSE,TRUE)</f>
        <v>0</v>
      </c>
      <c r="Z98" s="42" t="b">
        <f>IF(K146="",FALSE,TRUE)</f>
        <v>0</v>
      </c>
      <c r="AA98" s="3" t="b">
        <v>0</v>
      </c>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row>
    <row r="99" spans="1:137" ht="15.75">
      <c r="A99" s="14"/>
      <c r="B99" s="57"/>
      <c r="C99" s="168"/>
      <c r="D99" s="163"/>
      <c r="E99" s="163"/>
      <c r="F99" s="163"/>
      <c r="G99" s="164"/>
      <c r="H99" s="57"/>
      <c r="I99" s="183"/>
      <c r="J99" s="163"/>
      <c r="K99" s="163"/>
      <c r="L99" s="164"/>
      <c r="M99" s="241" t="str">
        <f>IF(D97="","","JA")</f>
        <v/>
      </c>
      <c r="N99" s="221" t="str">
        <f>IF(D97="","","NEI")</f>
        <v/>
      </c>
      <c r="O99" s="176"/>
      <c r="P99" s="177"/>
      <c r="Q99" s="177"/>
      <c r="R99" s="178"/>
      <c r="S99" s="133"/>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row>
    <row r="100" spans="1:137" ht="15.75">
      <c r="A100" s="14"/>
      <c r="B100" s="57"/>
      <c r="C100" s="168"/>
      <c r="D100" s="163"/>
      <c r="E100" s="163"/>
      <c r="F100" s="163"/>
      <c r="G100" s="164"/>
      <c r="H100" s="57"/>
      <c r="I100" s="183"/>
      <c r="J100" s="163"/>
      <c r="K100" s="163"/>
      <c r="L100" s="164"/>
      <c r="M100" s="241"/>
      <c r="N100" s="221"/>
      <c r="O100" s="176"/>
      <c r="P100" s="177"/>
      <c r="Q100" s="177"/>
      <c r="R100" s="178"/>
      <c r="S100" s="133"/>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row>
    <row r="101" spans="1:137" ht="15.75">
      <c r="A101" s="14"/>
      <c r="B101" s="57"/>
      <c r="C101" s="168"/>
      <c r="D101" s="163"/>
      <c r="E101" s="163"/>
      <c r="F101" s="163"/>
      <c r="G101" s="164"/>
      <c r="H101" s="57"/>
      <c r="I101" s="183"/>
      <c r="J101" s="163"/>
      <c r="K101" s="163"/>
      <c r="L101" s="164"/>
      <c r="M101" s="57"/>
      <c r="N101" s="57"/>
      <c r="O101" s="176"/>
      <c r="P101" s="177"/>
      <c r="Q101" s="177"/>
      <c r="R101" s="178"/>
      <c r="S101" s="133"/>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44"/>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row>
    <row r="102" spans="1:137" ht="15.75">
      <c r="A102" s="14"/>
      <c r="B102" s="57"/>
      <c r="C102" s="169"/>
      <c r="D102" s="165"/>
      <c r="E102" s="165"/>
      <c r="F102" s="165"/>
      <c r="G102" s="166"/>
      <c r="H102" s="57"/>
      <c r="I102" s="184"/>
      <c r="J102" s="165"/>
      <c r="K102" s="165"/>
      <c r="L102" s="166"/>
      <c r="M102" s="57"/>
      <c r="N102" s="57"/>
      <c r="O102" s="179"/>
      <c r="P102" s="180"/>
      <c r="Q102" s="180"/>
      <c r="R102" s="181"/>
      <c r="S102" s="133"/>
      <c r="T102" s="3">
        <v>2</v>
      </c>
      <c r="U102" s="60" t="str">
        <f>IF(D97="","",IF(T102=1,TRUE,IF(T102=2,FALSE,"IR")))</f>
        <v/>
      </c>
      <c r="V102" s="3">
        <f>IF(U102=TRUE,1,IF(U102=FALSE,1,0))</f>
        <v>0</v>
      </c>
      <c r="W102" s="3" t="str">
        <f>IF(U102="","",IF(U102=TRUE,"Ja",IF(U102=FALSE,"Nei","Ikke relevant")))</f>
        <v/>
      </c>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row>
    <row r="103" spans="1:137" ht="15.75">
      <c r="A103" s="14"/>
      <c r="B103" s="57"/>
      <c r="C103" s="57"/>
      <c r="D103" s="57"/>
      <c r="E103" s="57"/>
      <c r="F103" s="57"/>
      <c r="G103" s="57"/>
      <c r="H103" s="57"/>
      <c r="I103" s="57"/>
      <c r="J103" s="57"/>
      <c r="K103" s="57"/>
      <c r="L103" s="57"/>
      <c r="M103" s="57"/>
      <c r="N103" s="57"/>
      <c r="O103" s="57"/>
      <c r="P103" s="57"/>
      <c r="Q103" s="57"/>
      <c r="R103" s="57"/>
      <c r="S103" s="132" t="str">
        <f>IF(V67=TRUE,"Til utskrift","")</f>
        <v/>
      </c>
      <c r="BU103" s="87"/>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row>
    <row r="104" spans="1:137" ht="15" customHeight="1">
      <c r="A104" s="14"/>
      <c r="B104" s="57"/>
      <c r="C104" s="167" t="str">
        <f>IF($R$60=1,"",$AK$73)</f>
        <v/>
      </c>
      <c r="D104" s="161" t="str">
        <f>IF($R$60=1,"",$AL$73)</f>
        <v/>
      </c>
      <c r="E104" s="161"/>
      <c r="F104" s="161"/>
      <c r="G104" s="162"/>
      <c r="H104" s="57"/>
      <c r="I104" s="182" t="str">
        <f>IF($R$60=1,"",$AM$73)</f>
        <v/>
      </c>
      <c r="J104" s="161"/>
      <c r="K104" s="161" t="str">
        <f>IF($R$60=1,"",$AN$73)</f>
        <v/>
      </c>
      <c r="L104" s="162"/>
      <c r="M104" s="57"/>
      <c r="N104" s="57"/>
      <c r="O104" s="173"/>
      <c r="P104" s="174"/>
      <c r="Q104" s="174"/>
      <c r="R104" s="175"/>
      <c r="S104" s="138" t="str">
        <f>IF(O104="","",LEN(O104)&amp;" tegn")</f>
        <v/>
      </c>
      <c r="X104" s="42" t="b">
        <f>IF($T$67=TRUE,FALSE,IF($T$71=TRUE,FALSE,IF($T$70=TRUE,FALSE,IF($T$69=TRUE,FALSE,IF($C$158="",FALSE,IF($W$59=TRUE,FALSE,TRUE))))))</f>
        <v>0</v>
      </c>
      <c r="Y104" s="42" t="b">
        <f>IF(R48=1,FALSE,IF(I158="",FALSE,IF(W59=FALSE,TRUE,FALSE)))</f>
        <v>0</v>
      </c>
      <c r="Z104" s="42" t="b">
        <f>IF(R48=1,FALSE,IF(I158="",FALSE,IF(W59=FALSE,TRUE,FALSE)))</f>
        <v>0</v>
      </c>
      <c r="BU104" s="44"/>
      <c r="BV104" s="44"/>
      <c r="BW104" s="44"/>
      <c r="BX104" s="44"/>
      <c r="BY104" s="44"/>
      <c r="BZ104" s="44"/>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4"/>
      <c r="DH104" s="44"/>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row>
    <row r="105" spans="1:137" ht="15.75">
      <c r="A105" s="14"/>
      <c r="B105" s="57"/>
      <c r="C105" s="168"/>
      <c r="D105" s="163"/>
      <c r="E105" s="163"/>
      <c r="F105" s="163"/>
      <c r="G105" s="164"/>
      <c r="H105" s="57"/>
      <c r="I105" s="183"/>
      <c r="J105" s="163"/>
      <c r="K105" s="163"/>
      <c r="L105" s="164"/>
      <c r="M105" s="57"/>
      <c r="N105" s="57"/>
      <c r="O105" s="176"/>
      <c r="P105" s="177"/>
      <c r="Q105" s="177"/>
      <c r="R105" s="178"/>
      <c r="S105" s="133"/>
      <c r="X105" s="42" t="b">
        <f>IF(C161="",FALSE,TRUE)</f>
        <v>0</v>
      </c>
      <c r="Y105" s="42" t="b">
        <f>IF(X105=FALSE,FALSE,TRUE)</f>
        <v>0</v>
      </c>
      <c r="Z105" s="42" t="b">
        <f>IF(Y105=FALSE,FALSE,TRUE)</f>
        <v>0</v>
      </c>
      <c r="AK105" s="23"/>
      <c r="AL105" s="23"/>
      <c r="AM105" s="23"/>
      <c r="AN105" s="23"/>
      <c r="AO105" s="23"/>
      <c r="AP105" s="23"/>
      <c r="AQ105" s="23"/>
      <c r="AR105" s="23"/>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row>
    <row r="106" spans="1:137" ht="15.75">
      <c r="A106" s="14"/>
      <c r="B106" s="57"/>
      <c r="C106" s="168"/>
      <c r="D106" s="163"/>
      <c r="E106" s="163"/>
      <c r="F106" s="163"/>
      <c r="G106" s="164"/>
      <c r="H106" s="57"/>
      <c r="I106" s="183"/>
      <c r="J106" s="163"/>
      <c r="K106" s="163"/>
      <c r="L106" s="164"/>
      <c r="M106" s="241" t="str">
        <f>IF(D104="","","JA")</f>
        <v/>
      </c>
      <c r="N106" s="221" t="str">
        <f>IF(D104="","","NEI")</f>
        <v/>
      </c>
      <c r="O106" s="176"/>
      <c r="P106" s="177"/>
      <c r="Q106" s="177"/>
      <c r="R106" s="178"/>
      <c r="S106" s="133"/>
      <c r="BU106" s="87"/>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row>
    <row r="107" spans="1:137" ht="15.75">
      <c r="A107" s="14"/>
      <c r="B107" s="57"/>
      <c r="C107" s="168"/>
      <c r="D107" s="163"/>
      <c r="E107" s="163"/>
      <c r="F107" s="163"/>
      <c r="G107" s="164"/>
      <c r="H107" s="57"/>
      <c r="I107" s="183"/>
      <c r="J107" s="163"/>
      <c r="K107" s="163"/>
      <c r="L107" s="164"/>
      <c r="M107" s="241"/>
      <c r="N107" s="221"/>
      <c r="O107" s="176"/>
      <c r="P107" s="177"/>
      <c r="Q107" s="177"/>
      <c r="R107" s="178"/>
      <c r="S107" s="133"/>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row>
    <row r="108" spans="1:137" ht="15.75">
      <c r="A108" s="14"/>
      <c r="B108" s="57"/>
      <c r="C108" s="168"/>
      <c r="D108" s="163"/>
      <c r="E108" s="163"/>
      <c r="F108" s="163"/>
      <c r="G108" s="164"/>
      <c r="H108" s="57"/>
      <c r="I108" s="183"/>
      <c r="J108" s="163"/>
      <c r="K108" s="163"/>
      <c r="L108" s="164"/>
      <c r="M108" s="57"/>
      <c r="N108" s="57"/>
      <c r="O108" s="176"/>
      <c r="P108" s="177"/>
      <c r="Q108" s="177"/>
      <c r="R108" s="178"/>
      <c r="S108" s="133"/>
      <c r="T108" s="3">
        <v>2</v>
      </c>
      <c r="U108" s="3" t="str">
        <f>IF(D104="","",IF(T108=1,TRUE,IF(T108=2,FALSE,"IR")))</f>
        <v/>
      </c>
      <c r="V108" s="3">
        <f>IF(U108=TRUE,1,IF(U108=FALSE,1,0))</f>
        <v>0</v>
      </c>
      <c r="W108" s="3" t="str">
        <f>IF(U108="","",IF(U108=TRUE,"Ja",IF(U108=FALSE,"Nei","Ikke relevant")))</f>
        <v/>
      </c>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row>
    <row r="109" spans="1:137" ht="15.75">
      <c r="A109" s="14"/>
      <c r="B109" s="57"/>
      <c r="C109" s="169"/>
      <c r="D109" s="165"/>
      <c r="E109" s="165"/>
      <c r="F109" s="165"/>
      <c r="G109" s="166"/>
      <c r="H109" s="57"/>
      <c r="I109" s="184"/>
      <c r="J109" s="165"/>
      <c r="K109" s="165"/>
      <c r="L109" s="166"/>
      <c r="M109" s="57"/>
      <c r="N109" s="57"/>
      <c r="O109" s="179"/>
      <c r="P109" s="180"/>
      <c r="Q109" s="180"/>
      <c r="R109" s="181"/>
      <c r="S109" s="133"/>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row>
    <row r="110" spans="1:137" ht="15.75">
      <c r="A110" s="14"/>
      <c r="B110" s="57"/>
      <c r="C110" s="57"/>
      <c r="D110" s="57"/>
      <c r="E110" s="57"/>
      <c r="F110" s="57"/>
      <c r="G110" s="57"/>
      <c r="H110" s="57"/>
      <c r="I110" s="57"/>
      <c r="J110" s="57"/>
      <c r="K110" s="57"/>
      <c r="L110" s="57"/>
      <c r="M110" s="57"/>
      <c r="N110" s="57"/>
      <c r="O110" s="57"/>
      <c r="P110" s="57"/>
      <c r="Q110" s="57"/>
      <c r="R110" s="57"/>
      <c r="S110" s="132" t="str">
        <f>IF(OR(S67=TRUE,S66=TRUE,S68=TRUE,S70=TRUE,S71=TRUE),"Til utskrift","")</f>
        <v/>
      </c>
      <c r="BU110" s="87"/>
      <c r="BV110" s="44"/>
      <c r="BW110" s="44"/>
      <c r="BX110" s="44"/>
      <c r="BY110" s="44"/>
      <c r="BZ110" s="44"/>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4"/>
      <c r="DH110" s="44"/>
      <c r="DI110" s="44"/>
      <c r="DJ110" s="44"/>
      <c r="DK110" s="44"/>
      <c r="DL110" s="44"/>
      <c r="DM110" s="44"/>
      <c r="DN110" s="44"/>
      <c r="DO110" s="44"/>
      <c r="DP110" s="44"/>
      <c r="DQ110" s="44"/>
      <c r="DR110" s="44"/>
      <c r="DS110" s="44"/>
      <c r="DT110" s="44"/>
      <c r="DU110" s="44"/>
      <c r="DV110" s="44"/>
      <c r="DW110" s="44"/>
      <c r="DX110" s="44"/>
      <c r="DY110" s="44"/>
      <c r="DZ110" s="44"/>
      <c r="EA110" s="44"/>
      <c r="EB110" s="44"/>
      <c r="EC110" s="44"/>
      <c r="ED110" s="44"/>
      <c r="EE110" s="44"/>
      <c r="EF110" s="44"/>
      <c r="EG110" s="44"/>
    </row>
    <row r="111" spans="1:137" ht="15" customHeight="1">
      <c r="A111" s="14"/>
      <c r="B111" s="57"/>
      <c r="C111" s="167" t="str">
        <f>IF($R$60=1,"",$AO$73)</f>
        <v/>
      </c>
      <c r="D111" s="161" t="str">
        <f>IF($R$60=1,"",$AP$73)</f>
        <v/>
      </c>
      <c r="E111" s="161"/>
      <c r="F111" s="161"/>
      <c r="G111" s="162"/>
      <c r="H111" s="57"/>
      <c r="I111" s="182" t="str">
        <f>IF($R$60=1,"",$AQ$73)</f>
        <v/>
      </c>
      <c r="J111" s="161"/>
      <c r="K111" s="161" t="str">
        <f>IF($R$60=1,"",$AR$73)</f>
        <v/>
      </c>
      <c r="L111" s="162"/>
      <c r="M111" s="57"/>
      <c r="N111" s="57"/>
      <c r="O111" s="173"/>
      <c r="P111" s="174"/>
      <c r="Q111" s="174"/>
      <c r="R111" s="175"/>
      <c r="S111" s="138" t="str">
        <f>IF(O111="","",LEN(O111)&amp;" tegn")</f>
        <v/>
      </c>
      <c r="BU111" s="44"/>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4"/>
      <c r="DH111" s="44"/>
      <c r="DI111" s="44"/>
      <c r="DJ111" s="44"/>
      <c r="DK111" s="44"/>
      <c r="DL111" s="44"/>
      <c r="DM111" s="44"/>
      <c r="DN111" s="44"/>
      <c r="DO111" s="44"/>
      <c r="DP111" s="44"/>
      <c r="DQ111" s="44"/>
      <c r="DR111" s="44"/>
      <c r="DS111" s="44"/>
      <c r="DT111" s="44"/>
      <c r="DU111" s="44"/>
      <c r="DV111" s="44"/>
      <c r="DW111" s="44"/>
      <c r="DX111" s="44"/>
      <c r="DY111" s="44"/>
      <c r="DZ111" s="44"/>
      <c r="EA111" s="44"/>
      <c r="EB111" s="44"/>
      <c r="EC111" s="44"/>
      <c r="ED111" s="44"/>
      <c r="EE111" s="44"/>
      <c r="EF111" s="44"/>
      <c r="EG111" s="44"/>
    </row>
    <row r="112" spans="1:137" ht="15.75">
      <c r="A112" s="14"/>
      <c r="B112" s="57"/>
      <c r="C112" s="168"/>
      <c r="D112" s="163"/>
      <c r="E112" s="163"/>
      <c r="F112" s="163"/>
      <c r="G112" s="164"/>
      <c r="H112" s="57"/>
      <c r="I112" s="183"/>
      <c r="J112" s="163"/>
      <c r="K112" s="163"/>
      <c r="L112" s="164"/>
      <c r="M112" s="57"/>
      <c r="N112" s="57"/>
      <c r="O112" s="176"/>
      <c r="P112" s="177"/>
      <c r="Q112" s="177"/>
      <c r="R112" s="178"/>
      <c r="S112" s="133"/>
      <c r="T112" s="3">
        <v>2</v>
      </c>
      <c r="U112" s="3" t="str">
        <f>IF(D111="","",IF(T112=1,TRUE,IF(T112=2,FALSE,"IR")))</f>
        <v/>
      </c>
      <c r="V112" s="3">
        <f>IF(U112=TRUE,1,IF(U112=FALSE,1,0))</f>
        <v>0</v>
      </c>
      <c r="W112" s="3" t="str">
        <f>IF(U112="","",IF(U112=TRUE,"Ja",IF(U112=FALSE,"Nei","Ikke relevant")))</f>
        <v/>
      </c>
      <c r="BU112" s="87"/>
      <c r="BV112" s="44"/>
      <c r="BW112" s="44"/>
      <c r="BX112" s="44"/>
      <c r="BY112" s="44"/>
      <c r="BZ112" s="44"/>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4"/>
      <c r="DH112" s="44"/>
      <c r="DI112" s="44"/>
      <c r="DJ112" s="44"/>
      <c r="DK112" s="44"/>
      <c r="DL112" s="44"/>
      <c r="DM112" s="44"/>
      <c r="DN112" s="44"/>
      <c r="DO112" s="44"/>
      <c r="DP112" s="44"/>
      <c r="DQ112" s="44"/>
      <c r="DR112" s="44"/>
      <c r="DS112" s="44"/>
      <c r="DT112" s="44"/>
      <c r="DU112" s="44"/>
      <c r="DV112" s="44"/>
      <c r="DW112" s="44"/>
      <c r="DX112" s="44"/>
      <c r="DY112" s="44"/>
      <c r="DZ112" s="44"/>
      <c r="EA112" s="44"/>
      <c r="EB112" s="44"/>
      <c r="EC112" s="44"/>
      <c r="ED112" s="44"/>
      <c r="EE112" s="44"/>
      <c r="EF112" s="44"/>
      <c r="EG112" s="44"/>
    </row>
    <row r="113" spans="1:137" ht="15.75">
      <c r="A113" s="14"/>
      <c r="B113" s="57"/>
      <c r="C113" s="168"/>
      <c r="D113" s="163"/>
      <c r="E113" s="163"/>
      <c r="F113" s="163"/>
      <c r="G113" s="164"/>
      <c r="H113" s="57"/>
      <c r="I113" s="183"/>
      <c r="J113" s="163"/>
      <c r="K113" s="163"/>
      <c r="L113" s="164"/>
      <c r="M113" s="241" t="str">
        <f>IF(D111="","","JA")</f>
        <v/>
      </c>
      <c r="N113" s="221" t="str">
        <f>IF(D111="","","NEI")</f>
        <v/>
      </c>
      <c r="O113" s="176"/>
      <c r="P113" s="177"/>
      <c r="Q113" s="177"/>
      <c r="R113" s="178"/>
      <c r="S113" s="133"/>
      <c r="BU113" s="44"/>
      <c r="BV113" s="44"/>
      <c r="BW113" s="44"/>
      <c r="BX113" s="44"/>
      <c r="BY113" s="44"/>
      <c r="BZ113" s="44"/>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4"/>
      <c r="DH113" s="44"/>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row>
    <row r="114" spans="1:137" ht="15.75">
      <c r="A114" s="14"/>
      <c r="B114" s="57"/>
      <c r="C114" s="168"/>
      <c r="D114" s="163"/>
      <c r="E114" s="163"/>
      <c r="F114" s="163"/>
      <c r="G114" s="164"/>
      <c r="H114" s="57"/>
      <c r="I114" s="183"/>
      <c r="J114" s="163"/>
      <c r="K114" s="163"/>
      <c r="L114" s="164"/>
      <c r="M114" s="241"/>
      <c r="N114" s="221"/>
      <c r="O114" s="176"/>
      <c r="P114" s="177"/>
      <c r="Q114" s="177"/>
      <c r="R114" s="178"/>
      <c r="S114" s="133"/>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row>
    <row r="115" spans="1:137" ht="15.75">
      <c r="A115" s="14"/>
      <c r="B115" s="57"/>
      <c r="C115" s="168"/>
      <c r="D115" s="163"/>
      <c r="E115" s="163"/>
      <c r="F115" s="163"/>
      <c r="G115" s="164"/>
      <c r="H115" s="57"/>
      <c r="I115" s="183"/>
      <c r="J115" s="163"/>
      <c r="K115" s="163"/>
      <c r="L115" s="164"/>
      <c r="M115" s="57"/>
      <c r="N115" s="57"/>
      <c r="O115" s="176"/>
      <c r="P115" s="177"/>
      <c r="Q115" s="177"/>
      <c r="R115" s="178"/>
      <c r="S115" s="133"/>
      <c r="BU115" s="44"/>
      <c r="BV115" s="44"/>
      <c r="BW115" s="44"/>
      <c r="BX115" s="44"/>
      <c r="BY115" s="44"/>
      <c r="BZ115" s="44"/>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c r="DD115" s="44"/>
      <c r="DE115" s="44"/>
      <c r="DF115" s="44"/>
      <c r="DG115" s="44"/>
      <c r="DH115" s="44"/>
      <c r="DI115" s="44"/>
      <c r="DJ115" s="44"/>
      <c r="DK115" s="44"/>
      <c r="DL115" s="44"/>
      <c r="DM115" s="44"/>
      <c r="DN115" s="44"/>
      <c r="DO115" s="44"/>
      <c r="DP115" s="44"/>
      <c r="DQ115" s="44"/>
      <c r="DR115" s="44"/>
      <c r="DS115" s="44"/>
      <c r="DT115" s="44"/>
      <c r="DU115" s="44"/>
      <c r="DV115" s="44"/>
      <c r="DW115" s="44"/>
      <c r="DX115" s="44"/>
      <c r="DY115" s="44"/>
      <c r="DZ115" s="44"/>
      <c r="EA115" s="44"/>
      <c r="EB115" s="44"/>
      <c r="EC115" s="44"/>
      <c r="ED115" s="44"/>
      <c r="EE115" s="44"/>
      <c r="EF115" s="44"/>
      <c r="EG115" s="44"/>
    </row>
    <row r="116" spans="1:137" ht="15.75">
      <c r="A116" s="14"/>
      <c r="B116" s="57"/>
      <c r="C116" s="169"/>
      <c r="D116" s="165"/>
      <c r="E116" s="165"/>
      <c r="F116" s="165"/>
      <c r="G116" s="166"/>
      <c r="H116" s="57"/>
      <c r="I116" s="184"/>
      <c r="J116" s="165"/>
      <c r="K116" s="165"/>
      <c r="L116" s="166"/>
      <c r="M116" s="57"/>
      <c r="N116" s="57"/>
      <c r="O116" s="179"/>
      <c r="P116" s="180"/>
      <c r="Q116" s="180"/>
      <c r="R116" s="181"/>
      <c r="S116" s="133"/>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row>
    <row r="117" spans="1:137" ht="15.75">
      <c r="A117" s="14"/>
      <c r="B117" s="57"/>
      <c r="C117" s="57"/>
      <c r="D117" s="57"/>
      <c r="E117" s="57"/>
      <c r="F117" s="57"/>
      <c r="G117" s="57"/>
      <c r="H117" s="57"/>
      <c r="I117" s="57"/>
      <c r="J117" s="57"/>
      <c r="K117" s="57"/>
      <c r="L117" s="57"/>
      <c r="M117" s="57"/>
      <c r="N117" s="57"/>
      <c r="O117" s="57"/>
      <c r="P117" s="57"/>
      <c r="Q117" s="57"/>
      <c r="R117" s="57"/>
      <c r="S117" s="132" t="str">
        <f>IF(OR(T63=TRUE,U63=TRUE,U67=TRUE,S65=TRUE,V65=TRUE,T69=TRUE,U69=TRUE),"Til utskrift","")</f>
        <v/>
      </c>
      <c r="BU117" s="87"/>
      <c r="BV117" s="44"/>
      <c r="BW117" s="44"/>
      <c r="BX117" s="44"/>
      <c r="BY117" s="44"/>
      <c r="BZ117" s="44"/>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4"/>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row>
    <row r="118" spans="1:137" ht="15" customHeight="1">
      <c r="A118" s="14"/>
      <c r="B118" s="57"/>
      <c r="C118" s="167" t="str">
        <f>IF($R$60=1,"",$AS$73)</f>
        <v/>
      </c>
      <c r="D118" s="161" t="str">
        <f>IF($R$60=1,"",$AT$73)</f>
        <v/>
      </c>
      <c r="E118" s="161"/>
      <c r="F118" s="161"/>
      <c r="G118" s="162"/>
      <c r="H118" s="57"/>
      <c r="I118" s="182" t="str">
        <f>IF($R$60=1,"",$AU$73)</f>
        <v/>
      </c>
      <c r="J118" s="161"/>
      <c r="K118" s="161" t="str">
        <f>IF($R$60=1,"",$AV$73)</f>
        <v/>
      </c>
      <c r="L118" s="162"/>
      <c r="M118" s="57"/>
      <c r="N118" s="57"/>
      <c r="O118" s="173"/>
      <c r="P118" s="174"/>
      <c r="Q118" s="174"/>
      <c r="R118" s="175"/>
      <c r="S118" s="138" t="str">
        <f>IF(O118="","",LEN(O118)&amp;" tegn")</f>
        <v/>
      </c>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row>
    <row r="119" spans="1:137" ht="15.75">
      <c r="A119" s="14"/>
      <c r="B119" s="57"/>
      <c r="C119" s="168"/>
      <c r="D119" s="163"/>
      <c r="E119" s="163"/>
      <c r="F119" s="163"/>
      <c r="G119" s="164"/>
      <c r="H119" s="57"/>
      <c r="I119" s="183"/>
      <c r="J119" s="163"/>
      <c r="K119" s="163"/>
      <c r="L119" s="164"/>
      <c r="M119" s="69"/>
      <c r="N119" s="57"/>
      <c r="O119" s="176"/>
      <c r="P119" s="177"/>
      <c r="Q119" s="177"/>
      <c r="R119" s="178"/>
      <c r="S119" s="133"/>
      <c r="T119" s="3">
        <v>2</v>
      </c>
      <c r="U119" s="3" t="str">
        <f>IF(D118="","",IF(T119=1,TRUE,IF(T119=2,FALSE,IF(Y119=TRUE,TRUE,"IR"))))</f>
        <v/>
      </c>
      <c r="V119" s="3">
        <f>IF(U119=TRUE,1,IF(U119=FALSE,1,0))</f>
        <v>0</v>
      </c>
      <c r="W119" s="3" t="str">
        <f>IF(U119="","",IF(Y119=TRUE,"Ikke bekreftet",IF(U119=TRUE,"Ja",IF(U119=FALSE,"Nei",X119))))</f>
        <v/>
      </c>
      <c r="X119" s="3" t="str">
        <f>IF(R48=3,"Ikke relevant",IF(R48=2,"Ikke bekreftet",""))</f>
        <v/>
      </c>
      <c r="Y119" s="3" t="b">
        <f>IF(R48=2,IF(T119=3,TRUE,FALSE))</f>
        <v>0</v>
      </c>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c r="DD119" s="44"/>
      <c r="DE119" s="44"/>
      <c r="DF119" s="44"/>
      <c r="DG119" s="44"/>
      <c r="DH119" s="44"/>
      <c r="DI119" s="44"/>
      <c r="DJ119" s="44"/>
      <c r="DK119" s="44"/>
      <c r="DL119" s="44"/>
      <c r="DM119" s="44"/>
      <c r="DN119" s="44"/>
      <c r="DO119" s="44"/>
      <c r="DP119" s="44"/>
      <c r="DQ119" s="44"/>
      <c r="DR119" s="44"/>
      <c r="DS119" s="44"/>
      <c r="DT119" s="44"/>
      <c r="DU119" s="44"/>
      <c r="DV119" s="44"/>
      <c r="DW119" s="44"/>
      <c r="DX119" s="44"/>
      <c r="DY119" s="44"/>
      <c r="DZ119" s="44"/>
      <c r="EA119" s="44"/>
      <c r="EB119" s="44"/>
      <c r="EC119" s="44"/>
      <c r="ED119" s="44"/>
      <c r="EE119" s="44"/>
      <c r="EF119" s="44"/>
      <c r="EG119" s="44"/>
    </row>
    <row r="120" spans="1:137" ht="15.75">
      <c r="A120" s="14"/>
      <c r="B120" s="57"/>
      <c r="C120" s="168"/>
      <c r="D120" s="163"/>
      <c r="E120" s="163"/>
      <c r="F120" s="163"/>
      <c r="G120" s="164"/>
      <c r="H120" s="57"/>
      <c r="I120" s="183"/>
      <c r="J120" s="163"/>
      <c r="K120" s="163"/>
      <c r="L120" s="164"/>
      <c r="M120" s="70" t="str">
        <f>IF(D118="","","JA")</f>
        <v/>
      </c>
      <c r="N120" s="71" t="str">
        <f>IF(D118="","","NEI")</f>
        <v/>
      </c>
      <c r="O120" s="176"/>
      <c r="P120" s="177"/>
      <c r="Q120" s="177"/>
      <c r="R120" s="178"/>
      <c r="S120" s="133"/>
      <c r="BU120" s="87"/>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row>
    <row r="121" spans="1:137" ht="15.75">
      <c r="A121" s="14"/>
      <c r="B121" s="57"/>
      <c r="C121" s="168"/>
      <c r="D121" s="163"/>
      <c r="E121" s="163"/>
      <c r="F121" s="163"/>
      <c r="G121" s="164"/>
      <c r="H121" s="57"/>
      <c r="I121" s="183"/>
      <c r="J121" s="163"/>
      <c r="K121" s="163"/>
      <c r="L121" s="164"/>
      <c r="M121" s="57"/>
      <c r="N121" s="71"/>
      <c r="O121" s="176"/>
      <c r="P121" s="177"/>
      <c r="Q121" s="177"/>
      <c r="R121" s="178"/>
      <c r="S121" s="133"/>
      <c r="BU121" s="87"/>
      <c r="BV121" s="44"/>
      <c r="BW121" s="44"/>
      <c r="BX121" s="44"/>
      <c r="BY121" s="44"/>
      <c r="BZ121" s="44"/>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4"/>
      <c r="DH121" s="44"/>
      <c r="DI121" s="44"/>
      <c r="DJ121" s="44"/>
      <c r="DK121" s="44"/>
      <c r="DL121" s="44"/>
      <c r="DM121" s="44"/>
      <c r="DN121" s="44"/>
      <c r="DO121" s="44"/>
      <c r="DP121" s="44"/>
      <c r="DQ121" s="44"/>
      <c r="DR121" s="44"/>
      <c r="DS121" s="44"/>
      <c r="DT121" s="44"/>
      <c r="DU121" s="44"/>
      <c r="DV121" s="44"/>
      <c r="DW121" s="44"/>
      <c r="DX121" s="44"/>
      <c r="DY121" s="44"/>
      <c r="DZ121" s="44"/>
      <c r="EA121" s="44"/>
      <c r="EB121" s="44"/>
      <c r="EC121" s="44"/>
      <c r="ED121" s="44"/>
      <c r="EE121" s="44"/>
      <c r="EF121" s="44"/>
      <c r="EG121" s="44"/>
    </row>
    <row r="122" spans="1:137" ht="15.75">
      <c r="A122" s="14"/>
      <c r="B122" s="57"/>
      <c r="C122" s="168"/>
      <c r="D122" s="163"/>
      <c r="E122" s="163"/>
      <c r="F122" s="163"/>
      <c r="G122" s="164"/>
      <c r="H122" s="57"/>
      <c r="I122" s="183"/>
      <c r="J122" s="163"/>
      <c r="K122" s="163"/>
      <c r="L122" s="164"/>
      <c r="M122" s="242" t="str">
        <f>IF(D118="","",IF(OR(D118="",V48=TRUE),"IKKE RELEVANT","(dette valget kan 
ikke benyttes nå)"))</f>
        <v/>
      </c>
      <c r="N122" s="243"/>
      <c r="O122" s="176"/>
      <c r="P122" s="177"/>
      <c r="Q122" s="177"/>
      <c r="R122" s="178"/>
      <c r="S122" s="133"/>
      <c r="BU122" s="87"/>
      <c r="BV122" s="44"/>
      <c r="BW122" s="44"/>
      <c r="BX122" s="44"/>
      <c r="BY122" s="44"/>
      <c r="BZ122" s="44"/>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4"/>
      <c r="DH122" s="44"/>
      <c r="DI122" s="44"/>
      <c r="DJ122" s="44"/>
      <c r="DK122" s="44"/>
      <c r="DL122" s="44"/>
      <c r="DM122" s="44"/>
      <c r="DN122" s="44"/>
      <c r="DO122" s="44"/>
      <c r="DP122" s="44"/>
      <c r="DQ122" s="44"/>
      <c r="DR122" s="44"/>
      <c r="DS122" s="44"/>
      <c r="DT122" s="44"/>
      <c r="DU122" s="44"/>
      <c r="DV122" s="44"/>
      <c r="DW122" s="44"/>
      <c r="DX122" s="44"/>
      <c r="DY122" s="44"/>
      <c r="DZ122" s="44"/>
      <c r="EA122" s="44"/>
      <c r="EB122" s="44"/>
      <c r="EC122" s="44"/>
      <c r="ED122" s="44"/>
      <c r="EE122" s="44"/>
      <c r="EF122" s="44"/>
      <c r="EG122" s="44"/>
    </row>
    <row r="123" spans="1:137" ht="15.75">
      <c r="A123" s="14"/>
      <c r="B123" s="57"/>
      <c r="C123" s="169"/>
      <c r="D123" s="165"/>
      <c r="E123" s="165"/>
      <c r="F123" s="165"/>
      <c r="G123" s="166"/>
      <c r="H123" s="57"/>
      <c r="I123" s="184"/>
      <c r="J123" s="165"/>
      <c r="K123" s="165"/>
      <c r="L123" s="166"/>
      <c r="M123" s="242"/>
      <c r="N123" s="243"/>
      <c r="O123" s="179"/>
      <c r="P123" s="180"/>
      <c r="Q123" s="180"/>
      <c r="R123" s="181"/>
      <c r="S123" s="133"/>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row>
    <row r="124" spans="1:137" ht="15.75">
      <c r="A124" s="14"/>
      <c r="B124" s="57"/>
      <c r="C124" s="57"/>
      <c r="D124" s="57"/>
      <c r="E124" s="57"/>
      <c r="F124" s="57"/>
      <c r="G124" s="57"/>
      <c r="H124" s="57"/>
      <c r="I124" s="57"/>
      <c r="J124" s="57"/>
      <c r="K124" s="57"/>
      <c r="L124" s="57"/>
      <c r="M124" s="57"/>
      <c r="N124" s="57"/>
      <c r="O124" s="57"/>
      <c r="P124" s="57"/>
      <c r="Q124" s="57"/>
      <c r="R124" s="57"/>
      <c r="S124" s="132" t="str">
        <f>IF(OR(S62=TRUE,T66=TRUE,U66=TRUE,T67=TRUE,T70=TRUE,U70=TRUE,V62=TRUE,V63=TRUE,V66=TRUE,V71=TRUE,V70=TRUE),"Til utskrift","")</f>
        <v/>
      </c>
      <c r="BU124" s="87"/>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4"/>
      <c r="DH124" s="44"/>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row>
    <row r="125" spans="1:137" ht="15" customHeight="1">
      <c r="A125" s="14"/>
      <c r="B125" s="57"/>
      <c r="C125" s="167" t="str">
        <f>IF($R$60=1,"",$AW$73)</f>
        <v/>
      </c>
      <c r="D125" s="161" t="str">
        <f>IF($R$60=1,"",$AX$73)</f>
        <v/>
      </c>
      <c r="E125" s="161"/>
      <c r="F125" s="161"/>
      <c r="G125" s="162"/>
      <c r="H125" s="57"/>
      <c r="I125" s="182" t="str">
        <f>IF($R$60=1,"",$AY$73)</f>
        <v/>
      </c>
      <c r="J125" s="161"/>
      <c r="K125" s="161" t="str">
        <f>IF($R$60=1,"",$AZ$73)</f>
        <v/>
      </c>
      <c r="L125" s="162"/>
      <c r="M125" s="57"/>
      <c r="N125" s="57"/>
      <c r="O125" s="173"/>
      <c r="P125" s="174"/>
      <c r="Q125" s="174"/>
      <c r="R125" s="175"/>
      <c r="S125" s="138" t="str">
        <f>IF(O125="","",LEN(O125)&amp;" tegn")</f>
        <v/>
      </c>
      <c r="AC125" s="3" t="b">
        <f>AND($U$68=TRUE,$T$152=1)</f>
        <v>0</v>
      </c>
      <c r="AD125" s="3" t="b">
        <f>AND($U$64=TRUE,$T$152=1)</f>
        <v>0</v>
      </c>
      <c r="AE125" s="3" t="b">
        <f>AND($U$65=TRUE,$T$152=1)</f>
        <v>0</v>
      </c>
      <c r="AF125" s="3" t="b">
        <f>OR(AC125,AD125,AE125)</f>
        <v>0</v>
      </c>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row>
    <row r="126" spans="1:137" ht="15.75">
      <c r="A126" s="14"/>
      <c r="B126" s="57"/>
      <c r="C126" s="168"/>
      <c r="D126" s="163"/>
      <c r="E126" s="163"/>
      <c r="F126" s="163"/>
      <c r="G126" s="164"/>
      <c r="H126" s="57"/>
      <c r="I126" s="183"/>
      <c r="J126" s="163"/>
      <c r="K126" s="163"/>
      <c r="L126" s="164"/>
      <c r="M126" s="57"/>
      <c r="N126" s="57"/>
      <c r="O126" s="176"/>
      <c r="P126" s="177"/>
      <c r="Q126" s="177"/>
      <c r="R126" s="178"/>
      <c r="S126" s="133"/>
      <c r="T126" s="3">
        <v>2</v>
      </c>
      <c r="U126" s="3" t="str">
        <f>IF(D125="","",IF(T126=1,TRUE,IF(T126=2,FALSE,"IR")))</f>
        <v/>
      </c>
      <c r="V126" s="3">
        <f>IF(U126=TRUE,1,IF(U126=FALSE,1,0))</f>
        <v>0</v>
      </c>
      <c r="W126" s="3" t="str">
        <f>IF(U126="","",IF(U126=TRUE,"Ja",IF(U126=FALSE,"Nei","Ikke relevant")))</f>
        <v/>
      </c>
      <c r="AC126" s="3" t="b">
        <f>AND($T$68=TRUE,$T$152=1)</f>
        <v>0</v>
      </c>
      <c r="AD126" s="3" t="b">
        <f>AND($T$64=TRUE,$T$152=1)</f>
        <v>0</v>
      </c>
      <c r="AE126" s="3" t="b">
        <f>AND($T$65=TRUE,$T$152=1)</f>
        <v>0</v>
      </c>
      <c r="AF126" s="3" t="b">
        <f>OR(AC126,AD126,AE126)</f>
        <v>0</v>
      </c>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row>
    <row r="127" spans="1:137" ht="15.75">
      <c r="A127" s="14"/>
      <c r="B127" s="57"/>
      <c r="C127" s="168"/>
      <c r="D127" s="163"/>
      <c r="E127" s="163"/>
      <c r="F127" s="163"/>
      <c r="G127" s="164"/>
      <c r="H127" s="57"/>
      <c r="I127" s="183"/>
      <c r="J127" s="163"/>
      <c r="K127" s="163"/>
      <c r="L127" s="164"/>
      <c r="M127" s="241" t="str">
        <f>IF(D125="","","JA")</f>
        <v/>
      </c>
      <c r="N127" s="221" t="str">
        <f>IF(D125="","","NEI")</f>
        <v/>
      </c>
      <c r="O127" s="176"/>
      <c r="P127" s="177"/>
      <c r="Q127" s="177"/>
      <c r="R127" s="178"/>
      <c r="S127" s="133"/>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row>
    <row r="128" spans="1:137" ht="15.75">
      <c r="A128" s="14"/>
      <c r="B128" s="57"/>
      <c r="C128" s="168"/>
      <c r="D128" s="163"/>
      <c r="E128" s="163"/>
      <c r="F128" s="163"/>
      <c r="G128" s="164"/>
      <c r="H128" s="57"/>
      <c r="I128" s="183"/>
      <c r="J128" s="163"/>
      <c r="K128" s="163"/>
      <c r="L128" s="164"/>
      <c r="M128" s="241"/>
      <c r="N128" s="221"/>
      <c r="O128" s="176"/>
      <c r="P128" s="177"/>
      <c r="Q128" s="177"/>
      <c r="R128" s="178"/>
      <c r="S128" s="133"/>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row>
    <row r="129" spans="1:137" ht="15.75">
      <c r="A129" s="14"/>
      <c r="B129" s="57"/>
      <c r="C129" s="168"/>
      <c r="D129" s="163"/>
      <c r="E129" s="163"/>
      <c r="F129" s="163"/>
      <c r="G129" s="164"/>
      <c r="H129" s="57"/>
      <c r="I129" s="183"/>
      <c r="J129" s="163"/>
      <c r="K129" s="163"/>
      <c r="L129" s="164"/>
      <c r="M129" s="57"/>
      <c r="N129" s="57"/>
      <c r="O129" s="176"/>
      <c r="P129" s="177"/>
      <c r="Q129" s="177"/>
      <c r="R129" s="178"/>
      <c r="S129" s="133"/>
      <c r="AF129" s="3" t="b">
        <f>OR(AF125,AF126)</f>
        <v>0</v>
      </c>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row>
    <row r="130" spans="1:137" ht="15.75">
      <c r="A130" s="14"/>
      <c r="B130" s="57"/>
      <c r="C130" s="169"/>
      <c r="D130" s="165"/>
      <c r="E130" s="165"/>
      <c r="F130" s="165"/>
      <c r="G130" s="166"/>
      <c r="H130" s="57"/>
      <c r="I130" s="184"/>
      <c r="J130" s="165"/>
      <c r="K130" s="165"/>
      <c r="L130" s="166"/>
      <c r="M130" s="57"/>
      <c r="N130" s="57"/>
      <c r="O130" s="179"/>
      <c r="P130" s="180"/>
      <c r="Q130" s="180"/>
      <c r="R130" s="181"/>
      <c r="S130" s="133"/>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row>
    <row r="131" spans="1:137" ht="15.75">
      <c r="A131" s="14"/>
      <c r="B131" s="57"/>
      <c r="C131" s="57"/>
      <c r="D131" s="57"/>
      <c r="E131" s="57"/>
      <c r="F131" s="57"/>
      <c r="G131" s="57"/>
      <c r="H131" s="57"/>
      <c r="I131" s="57"/>
      <c r="J131" s="57"/>
      <c r="K131" s="57"/>
      <c r="L131" s="57"/>
      <c r="M131" s="57"/>
      <c r="N131" s="57"/>
      <c r="O131" s="57"/>
      <c r="P131" s="57"/>
      <c r="Q131" s="57"/>
      <c r="R131" s="57"/>
      <c r="S131" s="132" t="str">
        <f>IF(OR(R62=TRUE,T62=TRUE,U62=TRUE,V68=TRUE,S69=TRUE),"Til utskrift","")</f>
        <v/>
      </c>
      <c r="AC131" s="3" t="b">
        <f>AND($U$68=TRUE,$T$152=0)</f>
        <v>0</v>
      </c>
      <c r="AD131" s="3" t="b">
        <f>AND($U$64=TRUE,$T$152=0)</f>
        <v>0</v>
      </c>
      <c r="AE131" s="3" t="b">
        <f>AND($U$65=TRUE,$T$152=0)</f>
        <v>0</v>
      </c>
      <c r="AF131" s="3" t="b">
        <f>OR(AC131,AD131,AE131)</f>
        <v>0</v>
      </c>
      <c r="BU131" s="87"/>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row>
    <row r="132" spans="1:137" ht="15" customHeight="1">
      <c r="A132" s="14"/>
      <c r="B132" s="57"/>
      <c r="C132" s="167" t="str">
        <f>IF($R$60=1,"",$BA$73)</f>
        <v/>
      </c>
      <c r="D132" s="161" t="str">
        <f>IF($R$60=1,"",$BB$73)</f>
        <v/>
      </c>
      <c r="E132" s="161"/>
      <c r="F132" s="161"/>
      <c r="G132" s="162"/>
      <c r="H132" s="57"/>
      <c r="I132" s="182" t="str">
        <f>IF($R$60=1,"",$BC$73)</f>
        <v/>
      </c>
      <c r="J132" s="161"/>
      <c r="K132" s="161" t="str">
        <f>IF($R$60=1,"",$BD$73)</f>
        <v/>
      </c>
      <c r="L132" s="162"/>
      <c r="M132" s="57"/>
      <c r="N132" s="57"/>
      <c r="O132" s="173"/>
      <c r="P132" s="174"/>
      <c r="Q132" s="174"/>
      <c r="R132" s="175"/>
      <c r="S132" s="138" t="str">
        <f>IF(O132="","",LEN(O132)&amp;" tegn")</f>
        <v/>
      </c>
      <c r="AC132" s="3" t="b">
        <f>AND($T$68=TRUE,$T$152=0)</f>
        <v>0</v>
      </c>
      <c r="AD132" s="3" t="b">
        <f>AND($T$64=TRUE,$T$152=0)</f>
        <v>0</v>
      </c>
      <c r="AE132" s="3" t="b">
        <f>AND($T$65=TRUE,$T$152=0)</f>
        <v>0</v>
      </c>
      <c r="AF132" s="3" t="b">
        <f>OR(AC132,AD132,AE132)</f>
        <v>0</v>
      </c>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row>
    <row r="133" spans="1:137" ht="15.75">
      <c r="A133" s="14"/>
      <c r="B133" s="57"/>
      <c r="C133" s="168"/>
      <c r="D133" s="163"/>
      <c r="E133" s="163"/>
      <c r="F133" s="163"/>
      <c r="G133" s="164"/>
      <c r="H133" s="57"/>
      <c r="I133" s="183"/>
      <c r="J133" s="163"/>
      <c r="K133" s="163"/>
      <c r="L133" s="164"/>
      <c r="M133" s="57"/>
      <c r="N133" s="57"/>
      <c r="O133" s="176"/>
      <c r="P133" s="177"/>
      <c r="Q133" s="177"/>
      <c r="R133" s="178"/>
      <c r="S133" s="133"/>
      <c r="T133" s="3">
        <v>2</v>
      </c>
      <c r="U133" s="3" t="str">
        <f>IF(D132="","",IF(T133=1,TRUE,IF(T133=2,FALSE,"IR")))</f>
        <v/>
      </c>
      <c r="V133" s="3">
        <f>IF(U133=TRUE,1,IF(U133=FALSE,1,0))</f>
        <v>0</v>
      </c>
      <c r="W133" s="3" t="str">
        <f>IF(U133="","",IF(U133=TRUE,"Ja",IF(U133=FALSE,"Nei","Ikke relevant")))</f>
        <v/>
      </c>
      <c r="Y133" s="3" t="s">
        <v>123</v>
      </c>
      <c r="AC133" s="3" t="s">
        <v>45</v>
      </c>
      <c r="AF133" s="3" t="b">
        <f>OR(AF131,AF132)</f>
        <v>0</v>
      </c>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row>
    <row r="134" spans="1:137" ht="15.75">
      <c r="A134" s="14"/>
      <c r="B134" s="57"/>
      <c r="C134" s="168"/>
      <c r="D134" s="163"/>
      <c r="E134" s="163"/>
      <c r="F134" s="163"/>
      <c r="G134" s="164"/>
      <c r="H134" s="57"/>
      <c r="I134" s="183"/>
      <c r="J134" s="163"/>
      <c r="K134" s="163"/>
      <c r="L134" s="164"/>
      <c r="M134" s="241" t="str">
        <f>IF(D132="","","JA")</f>
        <v/>
      </c>
      <c r="N134" s="221" t="str">
        <f>IF(D132="","","NEI")</f>
        <v/>
      </c>
      <c r="O134" s="176"/>
      <c r="P134" s="177"/>
      <c r="Q134" s="177"/>
      <c r="R134" s="178"/>
      <c r="S134" s="133"/>
      <c r="X134" s="3">
        <f>V151</f>
        <v>0</v>
      </c>
      <c r="Y134" s="3" t="str">
        <f>IF($W$59=TRUE,"Begge ytelsene oppfyller dokumentasjonskravene.","Alle ytelsene oppfyller dokumentasjonskravene.")</f>
        <v>Alle ytelsene oppfyller dokumentasjonskravene.</v>
      </c>
      <c r="AB134" s="3">
        <f>V151</f>
        <v>0</v>
      </c>
      <c r="AC134" s="3" t="str">
        <f>IF(AF129=TRUE,"Dokumentasjonskravet til BREEAM-NOR er oppfylt.","Alle stoffer på listen oppfyller dokumentasjonskravene til BREEAM-NOR.")</f>
        <v>Alle stoffer på listen oppfyller dokumentasjonskravene til BREEAM-NOR.</v>
      </c>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row>
    <row r="135" spans="1:137" ht="15.75">
      <c r="A135" s="14"/>
      <c r="B135" s="57"/>
      <c r="C135" s="168"/>
      <c r="D135" s="163"/>
      <c r="E135" s="163"/>
      <c r="F135" s="163"/>
      <c r="G135" s="164"/>
      <c r="H135" s="57"/>
      <c r="I135" s="183"/>
      <c r="J135" s="163"/>
      <c r="K135" s="163"/>
      <c r="L135" s="164"/>
      <c r="M135" s="241"/>
      <c r="N135" s="221"/>
      <c r="O135" s="176"/>
      <c r="P135" s="177"/>
      <c r="Q135" s="177"/>
      <c r="R135" s="178"/>
      <c r="S135" s="133"/>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row>
    <row r="136" spans="1:137" ht="15.75">
      <c r="A136" s="14"/>
      <c r="B136" s="57"/>
      <c r="C136" s="168"/>
      <c r="D136" s="163"/>
      <c r="E136" s="163"/>
      <c r="F136" s="163"/>
      <c r="G136" s="164"/>
      <c r="H136" s="57"/>
      <c r="I136" s="183"/>
      <c r="J136" s="163"/>
      <c r="K136" s="163"/>
      <c r="L136" s="164"/>
      <c r="M136" s="57"/>
      <c r="N136" s="57"/>
      <c r="O136" s="176"/>
      <c r="P136" s="177"/>
      <c r="Q136" s="177"/>
      <c r="R136" s="178"/>
      <c r="S136" s="133"/>
      <c r="X136" s="3">
        <f>X134-1</f>
        <v>-1</v>
      </c>
      <c r="Y136" s="3" t="s">
        <v>114</v>
      </c>
      <c r="AB136" s="3">
        <f>AB134-1</f>
        <v>-1</v>
      </c>
      <c r="AC136" s="3" t="str">
        <f>IF($AF$133=TRUE,"Stoffet på listen oppfyller ikke dokumentasjonskravet. Produktet tilfredsstiller derfor ikke A20-kravene til BREEAM-NOR.","Det finnes ett stoff på listen som ikke oppfyller dokumentasjonskravet. Produktet/produktene tilfredsstiller derfor ikke A20-kravene til BREEAM-NOR.")</f>
        <v>Det finnes ett stoff på listen som ikke oppfyller dokumentasjonskravet. Produktet/produktene tilfredsstiller derfor ikke A20-kravene til BREEAM-NOR.</v>
      </c>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c r="DJ136" s="44"/>
      <c r="DK136" s="44"/>
      <c r="DL136" s="44"/>
      <c r="DM136" s="44"/>
      <c r="DN136" s="44"/>
      <c r="DO136" s="44"/>
      <c r="DP136" s="44"/>
      <c r="DQ136" s="44"/>
      <c r="DR136" s="44"/>
      <c r="DS136" s="44"/>
      <c r="DT136" s="44"/>
      <c r="DU136" s="44"/>
      <c r="DV136" s="44"/>
      <c r="DW136" s="44"/>
      <c r="DX136" s="44"/>
      <c r="DY136" s="44"/>
      <c r="DZ136" s="44"/>
      <c r="EA136" s="44"/>
      <c r="EB136" s="44"/>
      <c r="EC136" s="44"/>
      <c r="ED136" s="44"/>
      <c r="EE136" s="44"/>
      <c r="EF136" s="44"/>
      <c r="EG136" s="44"/>
    </row>
    <row r="137" spans="1:137" ht="15.75">
      <c r="A137" s="14"/>
      <c r="B137" s="57"/>
      <c r="C137" s="169"/>
      <c r="D137" s="165"/>
      <c r="E137" s="165"/>
      <c r="F137" s="165"/>
      <c r="G137" s="166"/>
      <c r="H137" s="57"/>
      <c r="I137" s="184"/>
      <c r="J137" s="165"/>
      <c r="K137" s="165"/>
      <c r="L137" s="166"/>
      <c r="M137" s="57"/>
      <c r="N137" s="57"/>
      <c r="O137" s="179"/>
      <c r="P137" s="180"/>
      <c r="Q137" s="180"/>
      <c r="R137" s="181"/>
      <c r="S137" s="133"/>
      <c r="X137" s="3">
        <f>X136-1</f>
        <v>-2</v>
      </c>
      <c r="Y137" s="3" t="str">
        <f>IF(W59=TRUE,"Ingen ytelser oppfyller dokumentasjonskravet. Produktet/produktene tilfredsstiller derfor ikke kravene til BREEAM-NOR.","Det finnes to ytelser som ikke oppfyller dokumentasjonskravet. Produktet/produktene tilfredsstiller derfor ikke kravene til BREEAM-NOR.")</f>
        <v>Det finnes to ytelser som ikke oppfyller dokumentasjonskravet. Produktet/produktene tilfredsstiller derfor ikke kravene til BREEAM-NOR.</v>
      </c>
      <c r="AB137" s="3">
        <f>AB136-1</f>
        <v>-2</v>
      </c>
      <c r="AC137" s="3" t="s">
        <v>67</v>
      </c>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c r="DO137" s="44"/>
      <c r="DP137" s="44"/>
      <c r="DQ137" s="44"/>
      <c r="DR137" s="44"/>
      <c r="DS137" s="44"/>
      <c r="DT137" s="44"/>
      <c r="DU137" s="44"/>
      <c r="DV137" s="44"/>
      <c r="DW137" s="44"/>
      <c r="DX137" s="44"/>
      <c r="DY137" s="44"/>
      <c r="DZ137" s="44"/>
      <c r="EA137" s="44"/>
      <c r="EB137" s="44"/>
      <c r="EC137" s="44"/>
      <c r="ED137" s="44"/>
      <c r="EE137" s="44"/>
      <c r="EF137" s="44"/>
      <c r="EG137" s="44"/>
    </row>
    <row r="138" spans="1:137" ht="15.75">
      <c r="A138" s="14"/>
      <c r="B138" s="57"/>
      <c r="C138" s="57"/>
      <c r="D138" s="57"/>
      <c r="E138" s="57"/>
      <c r="F138" s="57"/>
      <c r="G138" s="57"/>
      <c r="H138" s="57"/>
      <c r="I138" s="57"/>
      <c r="J138" s="57"/>
      <c r="K138" s="57"/>
      <c r="L138" s="57"/>
      <c r="M138" s="57"/>
      <c r="N138" s="57"/>
      <c r="O138" s="57"/>
      <c r="P138" s="57"/>
      <c r="Q138" s="57"/>
      <c r="R138" s="57"/>
      <c r="S138" s="132" t="str">
        <f>IF(OR(R64=TRUE,U71=TRUE),"Til utskrift","")</f>
        <v/>
      </c>
      <c r="X138" s="3">
        <f t="shared" ref="X138:X146" si="3">X137-1</f>
        <v>-3</v>
      </c>
      <c r="Y138" s="3" t="s">
        <v>115</v>
      </c>
      <c r="AB138" s="3">
        <f t="shared" ref="AB138:AB146" si="4">AB137-1</f>
        <v>-3</v>
      </c>
      <c r="AC138" s="3" t="s">
        <v>68</v>
      </c>
      <c r="BU138" s="87"/>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row>
    <row r="139" spans="1:137" ht="15" customHeight="1">
      <c r="A139" s="14"/>
      <c r="B139" s="57"/>
      <c r="C139" s="167" t="str">
        <f>IF($R$60=1,"",$BE$73)</f>
        <v/>
      </c>
      <c r="D139" s="161" t="str">
        <f>IF($R$60=1,"",$BF$73)</f>
        <v/>
      </c>
      <c r="E139" s="161"/>
      <c r="F139" s="161"/>
      <c r="G139" s="162"/>
      <c r="H139" s="57"/>
      <c r="I139" s="182" t="str">
        <f>IF($R$60=1,"",$BG$73)</f>
        <v/>
      </c>
      <c r="J139" s="161"/>
      <c r="K139" s="161" t="str">
        <f>IF($R$60=1,"",$BH$73)</f>
        <v/>
      </c>
      <c r="L139" s="162"/>
      <c r="M139" s="57"/>
      <c r="N139" s="57"/>
      <c r="O139" s="173"/>
      <c r="P139" s="174"/>
      <c r="Q139" s="174"/>
      <c r="R139" s="175"/>
      <c r="S139" s="138" t="str">
        <f>IF(O139="","",LEN(O139)&amp;" tegn")</f>
        <v/>
      </c>
      <c r="X139" s="3">
        <f t="shared" si="3"/>
        <v>-4</v>
      </c>
      <c r="Y139" s="3" t="s">
        <v>116</v>
      </c>
      <c r="AB139" s="3">
        <f t="shared" si="4"/>
        <v>-4</v>
      </c>
      <c r="AC139" s="3" t="s">
        <v>69</v>
      </c>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row>
    <row r="140" spans="1:137" ht="15" customHeight="1">
      <c r="A140" s="14"/>
      <c r="B140" s="57"/>
      <c r="C140" s="168"/>
      <c r="D140" s="163"/>
      <c r="E140" s="163"/>
      <c r="F140" s="163"/>
      <c r="G140" s="164"/>
      <c r="H140" s="57"/>
      <c r="I140" s="183"/>
      <c r="J140" s="163"/>
      <c r="K140" s="163"/>
      <c r="L140" s="164"/>
      <c r="M140" s="57"/>
      <c r="N140" s="57"/>
      <c r="O140" s="176"/>
      <c r="P140" s="177"/>
      <c r="Q140" s="177"/>
      <c r="R140" s="178"/>
      <c r="S140" s="133"/>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row>
    <row r="141" spans="1:137" ht="15" customHeight="1">
      <c r="A141" s="14"/>
      <c r="B141" s="57"/>
      <c r="C141" s="168"/>
      <c r="D141" s="163"/>
      <c r="E141" s="163"/>
      <c r="F141" s="163"/>
      <c r="G141" s="164"/>
      <c r="H141" s="57"/>
      <c r="I141" s="183"/>
      <c r="J141" s="163"/>
      <c r="K141" s="163"/>
      <c r="L141" s="164"/>
      <c r="M141" s="241" t="str">
        <f>IF(D139="","","JA")</f>
        <v/>
      </c>
      <c r="N141" s="221" t="str">
        <f>IF(D139="","","NEI")</f>
        <v/>
      </c>
      <c r="O141" s="176"/>
      <c r="P141" s="177"/>
      <c r="Q141" s="177"/>
      <c r="R141" s="178"/>
      <c r="S141" s="133"/>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row>
    <row r="142" spans="1:137" ht="15.75">
      <c r="A142" s="14"/>
      <c r="B142" s="57"/>
      <c r="C142" s="168"/>
      <c r="D142" s="163"/>
      <c r="E142" s="163"/>
      <c r="F142" s="163"/>
      <c r="G142" s="164"/>
      <c r="H142" s="57"/>
      <c r="I142" s="183"/>
      <c r="J142" s="163"/>
      <c r="K142" s="163"/>
      <c r="L142" s="164"/>
      <c r="M142" s="241"/>
      <c r="N142" s="221"/>
      <c r="O142" s="176"/>
      <c r="P142" s="177"/>
      <c r="Q142" s="177"/>
      <c r="R142" s="178"/>
      <c r="S142" s="133"/>
      <c r="T142" s="3">
        <v>2</v>
      </c>
      <c r="U142" s="3" t="str">
        <f>IF(D139="","",IF(T142=1,TRUE,IF(T142=2,FALSE,"IR")))</f>
        <v/>
      </c>
      <c r="V142" s="3">
        <f>IF(U142=TRUE,1,IF(U142=FALSE,1,0))</f>
        <v>0</v>
      </c>
      <c r="W142" s="3" t="str">
        <f>IF(U142="","",IF(U142=TRUE,"Ja",IF(U142=FALSE,"Nei","Ikke relevant")))</f>
        <v/>
      </c>
      <c r="X142" s="3">
        <f>X139-1</f>
        <v>-5</v>
      </c>
      <c r="Y142" s="3" t="s">
        <v>117</v>
      </c>
      <c r="AB142" s="3">
        <f>AB139-1</f>
        <v>-5</v>
      </c>
      <c r="AC142" s="3" t="s">
        <v>70</v>
      </c>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row>
    <row r="143" spans="1:137" ht="15.75">
      <c r="A143" s="14"/>
      <c r="B143" s="57"/>
      <c r="C143" s="168"/>
      <c r="D143" s="163"/>
      <c r="E143" s="163"/>
      <c r="F143" s="163"/>
      <c r="G143" s="164"/>
      <c r="H143" s="57"/>
      <c r="I143" s="183"/>
      <c r="J143" s="163"/>
      <c r="K143" s="163"/>
      <c r="L143" s="164"/>
      <c r="M143" s="57"/>
      <c r="N143" s="57"/>
      <c r="O143" s="176"/>
      <c r="P143" s="177"/>
      <c r="Q143" s="177"/>
      <c r="R143" s="178"/>
      <c r="S143" s="133"/>
      <c r="X143" s="3">
        <f t="shared" si="3"/>
        <v>-6</v>
      </c>
      <c r="Y143" s="3" t="s">
        <v>118</v>
      </c>
      <c r="AB143" s="3">
        <f t="shared" si="4"/>
        <v>-6</v>
      </c>
      <c r="AC143" s="3" t="s">
        <v>71</v>
      </c>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row>
    <row r="144" spans="1:137" ht="15.75">
      <c r="A144" s="14"/>
      <c r="B144" s="57"/>
      <c r="C144" s="169"/>
      <c r="D144" s="165"/>
      <c r="E144" s="165"/>
      <c r="F144" s="165"/>
      <c r="G144" s="166"/>
      <c r="H144" s="57"/>
      <c r="I144" s="184"/>
      <c r="J144" s="165"/>
      <c r="K144" s="165"/>
      <c r="L144" s="166"/>
      <c r="M144" s="57"/>
      <c r="N144" s="57"/>
      <c r="O144" s="179"/>
      <c r="P144" s="180"/>
      <c r="Q144" s="180"/>
      <c r="R144" s="181"/>
      <c r="S144" s="133"/>
      <c r="X144" s="3">
        <f t="shared" si="3"/>
        <v>-7</v>
      </c>
      <c r="Y144" s="3" t="s">
        <v>119</v>
      </c>
      <c r="AB144" s="3">
        <f t="shared" si="4"/>
        <v>-7</v>
      </c>
      <c r="AC144" s="3" t="s">
        <v>72</v>
      </c>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row>
    <row r="145" spans="1:137" ht="15.75">
      <c r="A145" s="14"/>
      <c r="B145" s="57"/>
      <c r="C145" s="57"/>
      <c r="D145" s="57"/>
      <c r="E145" s="57"/>
      <c r="F145" s="57"/>
      <c r="G145" s="57"/>
      <c r="H145" s="57"/>
      <c r="I145" s="57"/>
      <c r="J145" s="57"/>
      <c r="K145" s="57"/>
      <c r="L145" s="57"/>
      <c r="M145" s="57"/>
      <c r="N145" s="57"/>
      <c r="O145" s="57"/>
      <c r="P145" s="57"/>
      <c r="Q145" s="57"/>
      <c r="R145" s="57"/>
      <c r="S145" s="132" t="str">
        <f>IF(OR(R66=TRUE,R70=TRUE,T71=TRUE,V72=TRUE),"Til utskrift","")</f>
        <v/>
      </c>
      <c r="X145" s="3">
        <f t="shared" si="3"/>
        <v>-8</v>
      </c>
      <c r="Y145" s="3" t="s">
        <v>120</v>
      </c>
      <c r="AB145" s="3">
        <f t="shared" si="4"/>
        <v>-8</v>
      </c>
      <c r="AC145" s="3" t="s">
        <v>73</v>
      </c>
      <c r="BU145" s="87"/>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row>
    <row r="146" spans="1:137" ht="15" customHeight="1">
      <c r="A146" s="14"/>
      <c r="B146" s="57"/>
      <c r="C146" s="167" t="str">
        <f>IF($R$60=1,"",$BI$73)</f>
        <v/>
      </c>
      <c r="D146" s="161" t="str">
        <f>IF($R$60=1,"",$BJ$73)</f>
        <v/>
      </c>
      <c r="E146" s="161"/>
      <c r="F146" s="161"/>
      <c r="G146" s="162"/>
      <c r="H146" s="57"/>
      <c r="I146" s="182" t="str">
        <f>IF($R$60=1,"",$BK$73)</f>
        <v/>
      </c>
      <c r="J146" s="161"/>
      <c r="K146" s="161" t="str">
        <f>IF($R$60=1,"",$BL$73)</f>
        <v/>
      </c>
      <c r="L146" s="162"/>
      <c r="M146" s="57"/>
      <c r="N146" s="57"/>
      <c r="O146" s="173"/>
      <c r="P146" s="174"/>
      <c r="Q146" s="174"/>
      <c r="R146" s="175"/>
      <c r="S146" s="138" t="str">
        <f>IF(O146="","",LEN(O146)&amp;" tegn")</f>
        <v/>
      </c>
      <c r="X146" s="3">
        <f t="shared" si="3"/>
        <v>-9</v>
      </c>
      <c r="Y146" s="3" t="s">
        <v>121</v>
      </c>
      <c r="AB146" s="3">
        <f t="shared" si="4"/>
        <v>-9</v>
      </c>
      <c r="AC146" s="3" t="s">
        <v>74</v>
      </c>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row>
    <row r="147" spans="1:137" ht="15" customHeight="1">
      <c r="A147" s="14"/>
      <c r="B147" s="57"/>
      <c r="C147" s="168"/>
      <c r="D147" s="163"/>
      <c r="E147" s="163"/>
      <c r="F147" s="163"/>
      <c r="G147" s="164"/>
      <c r="H147" s="57"/>
      <c r="I147" s="183"/>
      <c r="J147" s="163"/>
      <c r="K147" s="163"/>
      <c r="L147" s="164"/>
      <c r="M147" s="57"/>
      <c r="N147" s="57"/>
      <c r="O147" s="176"/>
      <c r="P147" s="177"/>
      <c r="Q147" s="177"/>
      <c r="R147" s="178"/>
      <c r="S147" s="133"/>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row>
    <row r="148" spans="1:137" ht="15" customHeight="1">
      <c r="A148" s="14"/>
      <c r="B148" s="57"/>
      <c r="C148" s="168"/>
      <c r="D148" s="163"/>
      <c r="E148" s="163"/>
      <c r="F148" s="163"/>
      <c r="G148" s="164"/>
      <c r="H148" s="57"/>
      <c r="I148" s="183"/>
      <c r="J148" s="163"/>
      <c r="K148" s="163"/>
      <c r="L148" s="164"/>
      <c r="M148" s="241" t="str">
        <f>IF(D146="","","JA")</f>
        <v/>
      </c>
      <c r="N148" s="221" t="str">
        <f>IF(D146="","","NEI")</f>
        <v/>
      </c>
      <c r="O148" s="176"/>
      <c r="P148" s="177"/>
      <c r="Q148" s="177"/>
      <c r="R148" s="178"/>
      <c r="S148" s="133"/>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row>
    <row r="149" spans="1:137" ht="15" customHeight="1">
      <c r="A149" s="14"/>
      <c r="B149" s="57"/>
      <c r="C149" s="168"/>
      <c r="D149" s="163"/>
      <c r="E149" s="163"/>
      <c r="F149" s="163"/>
      <c r="G149" s="164"/>
      <c r="H149" s="57"/>
      <c r="I149" s="183"/>
      <c r="J149" s="163"/>
      <c r="K149" s="163"/>
      <c r="L149" s="164"/>
      <c r="M149" s="241"/>
      <c r="N149" s="221"/>
      <c r="O149" s="176"/>
      <c r="P149" s="177"/>
      <c r="Q149" s="177"/>
      <c r="R149" s="178"/>
      <c r="S149" s="133"/>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row>
    <row r="150" spans="1:137" ht="15.75">
      <c r="A150" s="14"/>
      <c r="B150" s="57"/>
      <c r="C150" s="168"/>
      <c r="D150" s="163"/>
      <c r="E150" s="163"/>
      <c r="F150" s="163"/>
      <c r="G150" s="164"/>
      <c r="H150" s="57"/>
      <c r="I150" s="183"/>
      <c r="J150" s="163"/>
      <c r="K150" s="163"/>
      <c r="L150" s="164"/>
      <c r="M150" s="57"/>
      <c r="N150" s="57"/>
      <c r="O150" s="176"/>
      <c r="P150" s="177"/>
      <c r="Q150" s="177"/>
      <c r="R150" s="178"/>
      <c r="S150" s="133"/>
      <c r="T150" s="3">
        <v>1</v>
      </c>
      <c r="U150" s="3" t="str">
        <f>IF(D146="","",IF(T150=1,TRUE,IF(T150=2,FALSE,"IR")))</f>
        <v/>
      </c>
      <c r="V150" s="3">
        <f>IF(U150=TRUE,1,IF(U150=FALSE,1,0))</f>
        <v>0</v>
      </c>
      <c r="W150" s="3" t="str">
        <f>IF(U150="","",IF(U150=TRUE,"Ja",IF(U150=FALSE,"Nei","Ikke relevant")))</f>
        <v/>
      </c>
      <c r="X150" s="3">
        <f>X146-1</f>
        <v>-10</v>
      </c>
      <c r="Y150" s="3" t="s">
        <v>122</v>
      </c>
      <c r="AB150" s="3">
        <f>AB146-1</f>
        <v>-10</v>
      </c>
      <c r="AC150" s="3" t="s">
        <v>75</v>
      </c>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row>
    <row r="151" spans="1:137" ht="15.75">
      <c r="A151" s="14"/>
      <c r="B151" s="57"/>
      <c r="C151" s="169"/>
      <c r="D151" s="165"/>
      <c r="E151" s="165"/>
      <c r="F151" s="165"/>
      <c r="G151" s="166"/>
      <c r="H151" s="57"/>
      <c r="I151" s="184"/>
      <c r="J151" s="165"/>
      <c r="K151" s="165"/>
      <c r="L151" s="166"/>
      <c r="M151" s="57"/>
      <c r="N151" s="57"/>
      <c r="O151" s="179"/>
      <c r="P151" s="180"/>
      <c r="Q151" s="180"/>
      <c r="R151" s="181"/>
      <c r="S151" s="133"/>
      <c r="T151" s="3">
        <f>COUNTIF(U88:U150,TRUE)</f>
        <v>0</v>
      </c>
      <c r="U151" s="3" t="str">
        <f>VLOOKUP(T151,X134:Y150,2,FALSE)</f>
        <v>Alle ytelsene oppfyller dokumentasjonskravene.</v>
      </c>
      <c r="V151" s="3">
        <f>SUM(V88:V150)</f>
        <v>0</v>
      </c>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row>
    <row r="152" spans="1:137" ht="15.75">
      <c r="A152" s="14"/>
      <c r="B152" s="57"/>
      <c r="C152" s="57"/>
      <c r="D152" s="57"/>
      <c r="E152" s="57"/>
      <c r="F152" s="57"/>
      <c r="G152" s="57"/>
      <c r="H152" s="57"/>
      <c r="I152" s="57"/>
      <c r="J152" s="57"/>
      <c r="K152" s="57"/>
      <c r="L152" s="57"/>
      <c r="M152" s="57"/>
      <c r="N152" s="57"/>
      <c r="O152" s="57"/>
      <c r="P152" s="57"/>
      <c r="Q152" s="57"/>
      <c r="R152" s="57"/>
      <c r="S152" s="132" t="str">
        <f>IF(OR(R63=TRUE,R65=TRUE,R68=TRUE,R69=TRUE),"Til utskrift","")</f>
        <v/>
      </c>
      <c r="T152" s="3">
        <f>COUNTIF(U88:U150,FALSE)</f>
        <v>0</v>
      </c>
      <c r="U152" s="3" t="str">
        <f>VLOOKUP(T152,AB134:AC150,2,FALSE)</f>
        <v>Alle stoffer på listen oppfyller dokumentasjonskravene til BREEAM-NOR.</v>
      </c>
      <c r="BU152" s="87"/>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row>
    <row r="153" spans="1:137" s="1" customFormat="1" hidden="1">
      <c r="A153" s="35"/>
      <c r="B153" s="62"/>
      <c r="C153" s="63"/>
      <c r="D153" s="63"/>
      <c r="E153" s="63"/>
      <c r="F153" s="63"/>
      <c r="G153" s="63"/>
      <c r="H153" s="63"/>
      <c r="I153" s="62"/>
      <c r="J153" s="62"/>
      <c r="K153" s="62"/>
      <c r="L153" s="62"/>
      <c r="M153" s="35"/>
      <c r="N153" s="35"/>
      <c r="O153" s="64"/>
      <c r="P153" s="64"/>
      <c r="Q153" s="64"/>
      <c r="R153" s="64"/>
      <c r="S153" s="35"/>
      <c r="T153" s="3"/>
      <c r="U153" s="3" t="b">
        <f>IF(R48=2,U152,IF(R48=3,U151))</f>
        <v>0</v>
      </c>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6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c r="EG153" s="35"/>
    </row>
    <row r="154" spans="1:137" s="1" customFormat="1" hidden="1">
      <c r="A154" s="35"/>
      <c r="B154" s="62"/>
      <c r="C154" s="62"/>
      <c r="D154" s="62"/>
      <c r="E154" s="62"/>
      <c r="F154" s="62"/>
      <c r="G154" s="62"/>
      <c r="H154" s="62"/>
      <c r="I154" s="62"/>
      <c r="J154" s="62"/>
      <c r="K154" s="62"/>
      <c r="L154" s="62"/>
      <c r="M154" s="35"/>
      <c r="N154" s="35"/>
      <c r="O154" s="64"/>
      <c r="P154" s="64"/>
      <c r="Q154" s="64"/>
      <c r="R154" s="64"/>
      <c r="S154" s="35"/>
      <c r="T154" s="3">
        <f>COUNTIF(U88:U150,"IR")</f>
        <v>0</v>
      </c>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6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5"/>
      <c r="DL154" s="35"/>
      <c r="DM154" s="35"/>
      <c r="DN154" s="35"/>
      <c r="DO154" s="35"/>
      <c r="DP154" s="35"/>
      <c r="DQ154" s="35"/>
      <c r="DR154" s="35"/>
      <c r="DS154" s="35"/>
      <c r="DT154" s="35"/>
      <c r="DU154" s="35"/>
      <c r="DV154" s="35"/>
      <c r="DW154" s="35"/>
      <c r="DX154" s="35"/>
      <c r="DY154" s="35"/>
      <c r="DZ154" s="35"/>
      <c r="EA154" s="35"/>
      <c r="EB154" s="35"/>
      <c r="EC154" s="35"/>
      <c r="ED154" s="35"/>
      <c r="EE154" s="35"/>
      <c r="EF154" s="35"/>
      <c r="EG154" s="35"/>
    </row>
    <row r="155" spans="1:137" s="1" customFormat="1" hidden="1">
      <c r="A155" s="35"/>
      <c r="B155" s="62"/>
      <c r="C155" s="62"/>
      <c r="D155" s="62"/>
      <c r="E155" s="62"/>
      <c r="F155" s="62"/>
      <c r="G155" s="62"/>
      <c r="H155" s="62"/>
      <c r="I155" s="62"/>
      <c r="J155" s="62"/>
      <c r="K155" s="62"/>
      <c r="L155" s="62"/>
      <c r="M155" s="35"/>
      <c r="N155" s="35"/>
      <c r="O155" s="64"/>
      <c r="P155" s="64"/>
      <c r="Q155" s="64"/>
      <c r="R155" s="64"/>
      <c r="S155" s="35"/>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6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c r="CY155" s="35"/>
      <c r="CZ155" s="35"/>
      <c r="DA155" s="35"/>
      <c r="DB155" s="35"/>
      <c r="DC155" s="35"/>
      <c r="DD155" s="35"/>
      <c r="DE155" s="35"/>
      <c r="DF155" s="35"/>
      <c r="DG155" s="35"/>
      <c r="DH155" s="35"/>
      <c r="DI155" s="35"/>
      <c r="DJ155" s="35"/>
      <c r="DK155" s="35"/>
      <c r="DL155" s="35"/>
      <c r="DM155" s="35"/>
      <c r="DN155" s="35"/>
      <c r="DO155" s="35"/>
      <c r="DP155" s="35"/>
      <c r="DQ155" s="35"/>
      <c r="DR155" s="35"/>
      <c r="DS155" s="35"/>
      <c r="DT155" s="35"/>
      <c r="DU155" s="35"/>
      <c r="DV155" s="35"/>
      <c r="DW155" s="35"/>
      <c r="DX155" s="35"/>
      <c r="DY155" s="35"/>
      <c r="DZ155" s="35"/>
      <c r="EA155" s="35"/>
      <c r="EB155" s="35"/>
      <c r="EC155" s="35"/>
      <c r="ED155" s="35"/>
      <c r="EE155" s="35"/>
      <c r="EF155" s="35"/>
      <c r="EG155" s="35"/>
    </row>
    <row r="156" spans="1:137" s="1" customFormat="1" hidden="1">
      <c r="A156" s="35"/>
      <c r="B156" s="63"/>
      <c r="C156" s="63"/>
      <c r="D156" s="63"/>
      <c r="E156" s="63"/>
      <c r="F156" s="63"/>
      <c r="G156" s="63"/>
      <c r="H156" s="63"/>
      <c r="I156" s="63"/>
      <c r="J156" s="63"/>
      <c r="K156" s="63"/>
      <c r="L156" s="63"/>
      <c r="M156" s="43"/>
      <c r="N156" s="43"/>
      <c r="O156" s="66"/>
      <c r="P156" s="66"/>
      <c r="Q156" s="64"/>
      <c r="R156" s="64"/>
      <c r="S156" s="35"/>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c r="DF156" s="35"/>
      <c r="DG156" s="35"/>
      <c r="DH156" s="35"/>
      <c r="DI156" s="35"/>
      <c r="DJ156" s="35"/>
      <c r="DK156" s="35"/>
      <c r="DL156" s="35"/>
      <c r="DM156" s="35"/>
      <c r="DN156" s="35"/>
      <c r="DO156" s="35"/>
      <c r="DP156" s="35"/>
      <c r="DQ156" s="35"/>
      <c r="DR156" s="35"/>
      <c r="DS156" s="35"/>
      <c r="DT156" s="35"/>
      <c r="DU156" s="35"/>
      <c r="DV156" s="35"/>
      <c r="DW156" s="35"/>
      <c r="DX156" s="35"/>
      <c r="DY156" s="35"/>
      <c r="DZ156" s="35"/>
      <c r="EA156" s="35"/>
      <c r="EB156" s="35"/>
      <c r="EC156" s="35"/>
      <c r="ED156" s="35"/>
      <c r="EE156" s="35"/>
      <c r="EF156" s="35"/>
      <c r="EG156" s="35"/>
    </row>
    <row r="157" spans="1:137" ht="15.75">
      <c r="A157" s="14"/>
      <c r="B157" s="57"/>
      <c r="C157" s="86" t="str">
        <f>IF($R$67=TRUE,"Deklarering av produktinformasjon","")</f>
        <v/>
      </c>
      <c r="D157" s="85"/>
      <c r="E157" s="85"/>
      <c r="F157" s="85"/>
      <c r="G157" s="85"/>
      <c r="H157" s="55"/>
      <c r="I157" s="55"/>
      <c r="J157" s="45"/>
      <c r="K157" s="45"/>
      <c r="L157" s="76"/>
      <c r="M157" s="45"/>
      <c r="N157" s="45"/>
      <c r="O157" s="76"/>
      <c r="P157" s="76"/>
      <c r="Q157" s="77"/>
      <c r="R157" s="77"/>
      <c r="S157" s="44"/>
      <c r="BU157" s="44"/>
      <c r="BV157" s="44"/>
      <c r="BW157" s="44"/>
      <c r="BX157" s="44"/>
      <c r="BY157" s="44"/>
      <c r="BZ157" s="44"/>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c r="DB157" s="44"/>
      <c r="DC157" s="44"/>
      <c r="DD157" s="44"/>
      <c r="DE157" s="44"/>
      <c r="DF157" s="44"/>
      <c r="DG157" s="44"/>
      <c r="DH157" s="44"/>
      <c r="DI157" s="44"/>
      <c r="DJ157" s="44"/>
      <c r="DK157" s="44"/>
      <c r="DL157" s="44"/>
      <c r="DM157" s="44"/>
      <c r="DN157" s="44"/>
      <c r="DO157" s="44"/>
      <c r="DP157" s="44"/>
      <c r="DQ157" s="44"/>
      <c r="DR157" s="44"/>
      <c r="DS157" s="44"/>
      <c r="DT157" s="44"/>
      <c r="DU157" s="44"/>
      <c r="DV157" s="44"/>
      <c r="DW157" s="44"/>
      <c r="DX157" s="44"/>
      <c r="DY157" s="44"/>
      <c r="DZ157" s="44"/>
      <c r="EA157" s="44"/>
      <c r="EB157" s="44"/>
      <c r="EC157" s="44"/>
      <c r="ED157" s="44"/>
      <c r="EE157" s="44"/>
      <c r="EF157" s="44"/>
      <c r="EG157" s="44"/>
    </row>
    <row r="158" spans="1:137" ht="27.75" customHeight="1">
      <c r="A158" s="14"/>
      <c r="B158" s="44"/>
      <c r="C158" s="171" t="str">
        <f>IF($R$67=TRUE,$V$162,IF(OR($T$66=TRUE,$U$64=TRUE,V66=TRUE,V68=TRUE),"¹⁾ For PFOS er maksinnhold regulert gjennom spesifikasjon REACH vedlegg XVII artikkel 53, se:",IF($T$64=TRUE,"¹⁾ For PFOS er maksinnhold regulert gjennom spesifikasjon REACH vedlegg XVII artikkel 53, se:",IF($U$66=TRUE,"¹⁾ For PFOS er maksinnhold regulert gjennom spesifikasjon REACH vedlegg XVII artikkel 53, se:",IF($U$71=TRUE,"¹⁾ For kadmium i maling er maksinnhold regulert gjennom spesifikasjon REACH vedlegg XVII artikkel 53, se:",IF($T$71=TRUE,"¹⁾ For kadmium i maling er maksinnhold regulert gjennom spesifikasjon REACH vedlegg XVII artikkel 53, se:",IF(V72=TRUE,"¹⁾ For kadmium i maling er maksinnhold regulert gjennom spesifikasjon REACH vedlegg XVII artikkel 53, og ",$BM$73)))))))</f>
        <v/>
      </c>
      <c r="D158" s="171"/>
      <c r="E158" s="171"/>
      <c r="F158" s="171"/>
      <c r="G158" s="171"/>
      <c r="H158" s="44"/>
      <c r="I158" s="171" t="str">
        <f>IF(R48=1,"",IF($R$67=TRUE,V164,""))</f>
        <v/>
      </c>
      <c r="J158" s="171"/>
      <c r="K158" s="171"/>
      <c r="L158" s="171"/>
      <c r="M158" s="78"/>
      <c r="N158" s="79"/>
      <c r="O158" s="79"/>
      <c r="P158" s="78"/>
      <c r="Q158" s="77"/>
      <c r="R158" s="77"/>
      <c r="S158" s="44"/>
      <c r="BU158" s="44"/>
      <c r="BV158" s="44"/>
      <c r="BW158" s="44"/>
      <c r="BX158" s="44"/>
      <c r="BY158" s="44"/>
      <c r="BZ158" s="44"/>
      <c r="CA158" s="44"/>
      <c r="CB158" s="44"/>
      <c r="CC158" s="44"/>
      <c r="CD158" s="44"/>
      <c r="CE158" s="44"/>
      <c r="CF158" s="44"/>
      <c r="CG158" s="44"/>
      <c r="CH158" s="44"/>
      <c r="CI158" s="44"/>
      <c r="CJ158" s="44"/>
      <c r="CK158" s="44"/>
      <c r="CL158" s="44"/>
      <c r="CM158" s="44"/>
      <c r="CN158" s="44"/>
      <c r="CO158" s="44"/>
      <c r="CP158" s="44"/>
      <c r="CQ158" s="44"/>
      <c r="CR158" s="44"/>
      <c r="CS158" s="44"/>
      <c r="CT158" s="44"/>
      <c r="CU158" s="44"/>
      <c r="CV158" s="44"/>
      <c r="CW158" s="44"/>
      <c r="CX158" s="44"/>
      <c r="CY158" s="44"/>
      <c r="CZ158" s="44"/>
      <c r="DA158" s="44"/>
      <c r="DB158" s="44"/>
      <c r="DC158" s="44"/>
      <c r="DD158" s="44"/>
      <c r="DE158" s="44"/>
      <c r="DF158" s="44"/>
      <c r="DG158" s="44"/>
      <c r="DH158" s="44"/>
      <c r="DI158" s="44"/>
      <c r="DJ158" s="44"/>
      <c r="DK158" s="44"/>
      <c r="DL158" s="44"/>
      <c r="DM158" s="44"/>
      <c r="DN158" s="44"/>
      <c r="DO158" s="44"/>
      <c r="DP158" s="44"/>
      <c r="DQ158" s="44"/>
      <c r="DR158" s="44"/>
      <c r="DS158" s="44"/>
      <c r="DT158" s="44"/>
      <c r="DU158" s="44"/>
      <c r="DV158" s="44"/>
      <c r="DW158" s="44"/>
      <c r="DX158" s="44"/>
      <c r="DY158" s="44"/>
      <c r="DZ158" s="44"/>
      <c r="EA158" s="44"/>
      <c r="EB158" s="44"/>
      <c r="EC158" s="44"/>
      <c r="ED158" s="44"/>
      <c r="EE158" s="44"/>
      <c r="EF158" s="44"/>
      <c r="EG158" s="44"/>
    </row>
    <row r="159" spans="1:137" ht="27.75" customHeight="1">
      <c r="A159" s="14"/>
      <c r="B159" s="44"/>
      <c r="C159" s="172" t="str">
        <f>IF($R$67=TRUE,V163,IF(OR($T$66=TRUE,$U$64=TRUE,V66=TRUE,V68=TRUE),"www.erdetfarlig.no eller www.miljodirektoratet.no/kjemikaliesok",IF($T$64=TRUE,"www.erdetfarlig.no eller www.miljodirektoratet.no/kjemikaliesok",IF($U$66=TRUE,"www.erdetfarlig.no eller www.miljodirektoratet.no/kjemikaliesok",IF(OR($T$71=TRUE,$U$71=TRUE),"www.erdetfarlig.no eller www.miljodirektoratet.no/kjemikaliesok",IF(V72=TRUE,"²⁾ For  PFOS er maksinnhold regulert gjennom spesifikasjon REACH vedlegg XVII artikkel 53, se:",$BN$73))))))</f>
        <v/>
      </c>
      <c r="D159" s="172"/>
      <c r="E159" s="172"/>
      <c r="F159" s="172"/>
      <c r="G159" s="172"/>
      <c r="H159" s="44"/>
      <c r="I159" s="172" t="str">
        <f>IF(R48=1,"",IF($R$67=TRUE,V165,""))</f>
        <v/>
      </c>
      <c r="J159" s="172"/>
      <c r="K159" s="172"/>
      <c r="L159" s="172"/>
      <c r="M159" s="80"/>
      <c r="N159" s="81"/>
      <c r="O159" s="81"/>
      <c r="P159" s="80"/>
      <c r="Q159" s="77"/>
      <c r="R159" s="77"/>
      <c r="S159" s="44"/>
      <c r="BU159" s="44"/>
      <c r="BV159" s="44"/>
      <c r="BW159" s="44"/>
      <c r="BX159" s="44"/>
      <c r="BY159" s="44"/>
      <c r="BZ159" s="44"/>
      <c r="CA159" s="44"/>
      <c r="CB159" s="44"/>
      <c r="CC159" s="44"/>
      <c r="CD159" s="44"/>
      <c r="CE159" s="44"/>
      <c r="CF159" s="44"/>
      <c r="CG159" s="44"/>
      <c r="CH159" s="44"/>
      <c r="CI159" s="44"/>
      <c r="CJ159" s="44"/>
      <c r="CK159" s="44"/>
      <c r="CL159" s="44"/>
      <c r="CM159" s="44"/>
      <c r="CN159" s="44"/>
      <c r="CO159" s="44"/>
      <c r="CP159" s="44"/>
      <c r="CQ159" s="44"/>
      <c r="CR159" s="44"/>
      <c r="CS159" s="44"/>
      <c r="CT159" s="44"/>
      <c r="CU159" s="44"/>
      <c r="CV159" s="44"/>
      <c r="CW159" s="44"/>
      <c r="CX159" s="44"/>
      <c r="CY159" s="44"/>
      <c r="CZ159" s="44"/>
      <c r="DA159" s="44"/>
      <c r="DB159" s="44"/>
      <c r="DC159" s="44"/>
      <c r="DD159" s="44"/>
      <c r="DE159" s="44"/>
      <c r="DF159" s="44"/>
      <c r="DG159" s="44"/>
      <c r="DH159" s="44"/>
      <c r="DI159" s="44"/>
      <c r="DJ159" s="44"/>
      <c r="DK159" s="44"/>
      <c r="DL159" s="44"/>
      <c r="DM159" s="44"/>
      <c r="DN159" s="44"/>
      <c r="DO159" s="44"/>
      <c r="DP159" s="44"/>
      <c r="DQ159" s="44"/>
      <c r="DR159" s="44"/>
      <c r="DS159" s="44"/>
      <c r="DT159" s="44"/>
      <c r="DU159" s="44"/>
      <c r="DV159" s="44"/>
      <c r="DW159" s="44"/>
      <c r="DX159" s="44"/>
      <c r="DY159" s="44"/>
      <c r="DZ159" s="44"/>
      <c r="EA159" s="44"/>
      <c r="EB159" s="44"/>
      <c r="EC159" s="44"/>
      <c r="ED159" s="44"/>
      <c r="EE159" s="44"/>
      <c r="EF159" s="44"/>
      <c r="EG159" s="44"/>
    </row>
    <row r="160" spans="1:137" ht="24.75" customHeight="1">
      <c r="A160" s="14"/>
      <c r="B160" s="44"/>
      <c r="C160" s="172"/>
      <c r="D160" s="172"/>
      <c r="E160" s="172"/>
      <c r="F160" s="172"/>
      <c r="G160" s="172"/>
      <c r="H160" s="44"/>
      <c r="I160" s="172" t="str">
        <f>IF(R48=1,"",IF($R$67=TRUE,V166,""))</f>
        <v/>
      </c>
      <c r="J160" s="172"/>
      <c r="K160" s="172"/>
      <c r="L160" s="172"/>
      <c r="M160" s="80"/>
      <c r="N160" s="81"/>
      <c r="O160" s="81"/>
      <c r="P160" s="80"/>
      <c r="Q160" s="77"/>
      <c r="R160" s="77"/>
      <c r="S160" s="44"/>
      <c r="BU160" s="44"/>
      <c r="BV160" s="44"/>
      <c r="BW160" s="44"/>
      <c r="BX160" s="44"/>
      <c r="BY160" s="44"/>
      <c r="BZ160" s="44"/>
      <c r="CA160" s="44"/>
      <c r="CB160" s="44"/>
      <c r="CC160" s="44"/>
      <c r="CD160" s="44"/>
      <c r="CE160" s="44"/>
      <c r="CF160" s="44"/>
      <c r="CG160" s="44"/>
      <c r="CH160" s="44"/>
      <c r="CI160" s="44"/>
      <c r="CJ160" s="44"/>
      <c r="CK160" s="44"/>
      <c r="CL160" s="44"/>
      <c r="CM160" s="44"/>
      <c r="CN160" s="44"/>
      <c r="CO160" s="44"/>
      <c r="CP160" s="44"/>
      <c r="CQ160" s="44"/>
      <c r="CR160" s="44"/>
      <c r="CS160" s="44"/>
      <c r="CT160" s="44"/>
      <c r="CU160" s="44"/>
      <c r="CV160" s="44"/>
      <c r="CW160" s="44"/>
      <c r="CX160" s="44"/>
      <c r="CY160" s="44"/>
      <c r="CZ160" s="44"/>
      <c r="DA160" s="44"/>
      <c r="DB160" s="44"/>
      <c r="DC160" s="44"/>
      <c r="DD160" s="44"/>
      <c r="DE160" s="44"/>
      <c r="DF160" s="44"/>
      <c r="DG160" s="44"/>
      <c r="DH160" s="44"/>
      <c r="DI160" s="44"/>
      <c r="DJ160" s="44"/>
      <c r="DK160" s="44"/>
      <c r="DL160" s="44"/>
      <c r="DM160" s="44"/>
      <c r="DN160" s="44"/>
      <c r="DO160" s="44"/>
      <c r="DP160" s="44"/>
      <c r="DQ160" s="44"/>
      <c r="DR160" s="44"/>
      <c r="DS160" s="44"/>
      <c r="DT160" s="44"/>
      <c r="DU160" s="44"/>
      <c r="DV160" s="44"/>
      <c r="DW160" s="44"/>
      <c r="DX160" s="44"/>
      <c r="DY160" s="44"/>
      <c r="DZ160" s="44"/>
      <c r="EA160" s="44"/>
      <c r="EB160" s="44"/>
      <c r="EC160" s="44"/>
      <c r="ED160" s="44"/>
      <c r="EE160" s="44"/>
      <c r="EF160" s="44"/>
      <c r="EG160" s="44"/>
    </row>
    <row r="161" spans="1:137" ht="21" customHeight="1">
      <c r="A161" s="14"/>
      <c r="B161" s="57"/>
      <c r="C161" s="222" t="str">
        <f>IF(V72=TRUE,"www.erdetfarlig.no eller www.miljodirektoratet.no/kjemikaliesok",IF($T$71=TRUE,"",BO73))</f>
        <v/>
      </c>
      <c r="D161" s="222"/>
      <c r="E161" s="222"/>
      <c r="F161" s="222"/>
      <c r="G161" s="222"/>
      <c r="H161" s="44"/>
      <c r="I161" s="82"/>
      <c r="J161" s="83"/>
      <c r="K161" s="83"/>
      <c r="L161" s="84"/>
      <c r="M161" s="83"/>
      <c r="N161" s="83"/>
      <c r="O161" s="84"/>
      <c r="P161" s="84"/>
      <c r="Q161" s="77"/>
      <c r="R161" s="77"/>
      <c r="S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row>
    <row r="162" spans="1:137" ht="21" customHeight="1">
      <c r="A162" s="14"/>
      <c r="B162" s="57"/>
      <c r="C162" s="222"/>
      <c r="D162" s="222"/>
      <c r="E162" s="222"/>
      <c r="F162" s="222"/>
      <c r="G162" s="222"/>
      <c r="H162" s="44"/>
      <c r="I162" s="83"/>
      <c r="J162" s="83"/>
      <c r="K162" s="83"/>
      <c r="L162" s="83"/>
      <c r="M162" s="83"/>
      <c r="N162" s="83"/>
      <c r="O162" s="83"/>
      <c r="P162" s="83"/>
      <c r="Q162" s="44"/>
      <c r="R162" s="44"/>
      <c r="S162" s="44"/>
      <c r="V162" s="34" t="s">
        <v>62</v>
      </c>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row>
    <row r="163" spans="1:137" ht="15" customHeight="1">
      <c r="A163" s="14"/>
      <c r="B163" s="57"/>
      <c r="C163" s="57"/>
      <c r="D163" s="57"/>
      <c r="E163" s="57"/>
      <c r="F163" s="57"/>
      <c r="G163" s="57"/>
      <c r="H163" s="57"/>
      <c r="I163" s="57"/>
      <c r="J163" s="44"/>
      <c r="K163" s="44"/>
      <c r="L163" s="44"/>
      <c r="M163" s="83"/>
      <c r="N163" s="83"/>
      <c r="O163" s="83"/>
      <c r="P163" s="44"/>
      <c r="Q163" s="44"/>
      <c r="R163" s="44"/>
      <c r="S163" s="44"/>
      <c r="V163" s="29" t="s">
        <v>61</v>
      </c>
      <c r="BU163" s="44"/>
      <c r="BV163" s="44"/>
      <c r="BW163" s="44"/>
      <c r="BX163" s="44"/>
      <c r="BY163" s="44"/>
      <c r="BZ163" s="44"/>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c r="DB163" s="44"/>
      <c r="DC163" s="44"/>
      <c r="DD163" s="44"/>
      <c r="DE163" s="44"/>
      <c r="DF163" s="44"/>
      <c r="DG163" s="44"/>
      <c r="DH163" s="44"/>
      <c r="DI163" s="44"/>
      <c r="DJ163" s="44"/>
      <c r="DK163" s="44"/>
      <c r="DL163" s="44"/>
      <c r="DM163" s="44"/>
      <c r="DN163" s="44"/>
      <c r="DO163" s="44"/>
      <c r="DP163" s="44"/>
      <c r="DQ163" s="44"/>
      <c r="DR163" s="44"/>
      <c r="DS163" s="44"/>
      <c r="DT163" s="44"/>
      <c r="DU163" s="44"/>
      <c r="DV163" s="44"/>
      <c r="DW163" s="44"/>
      <c r="DX163" s="44"/>
      <c r="DY163" s="44"/>
      <c r="DZ163" s="44"/>
      <c r="EA163" s="44"/>
      <c r="EB163" s="44"/>
      <c r="EC163" s="44"/>
      <c r="ED163" s="44"/>
      <c r="EE163" s="44"/>
      <c r="EF163" s="44"/>
      <c r="EG163" s="44"/>
    </row>
    <row r="164" spans="1:137" ht="24.95" customHeight="1">
      <c r="A164" s="14"/>
      <c r="B164" s="57"/>
      <c r="C164" s="224" t="str">
        <f>IF(W59=TRUE,AF207,"")</f>
        <v/>
      </c>
      <c r="D164" s="224"/>
      <c r="E164" s="224"/>
      <c r="F164" s="224"/>
      <c r="G164" s="224"/>
      <c r="H164" s="224"/>
      <c r="I164" s="224"/>
      <c r="J164" s="224"/>
      <c r="K164" s="224"/>
      <c r="L164" s="224"/>
      <c r="M164" s="83"/>
      <c r="N164" s="83"/>
      <c r="O164" s="83"/>
      <c r="P164" s="44"/>
      <c r="Q164" s="87"/>
      <c r="R164" s="44"/>
      <c r="S164" s="44"/>
      <c r="V164" s="34" t="s">
        <v>60</v>
      </c>
      <c r="BU164" s="87"/>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44"/>
      <c r="DE164" s="44"/>
      <c r="DF164" s="44"/>
      <c r="DG164" s="44"/>
      <c r="DH164" s="44"/>
      <c r="DI164" s="44"/>
      <c r="DJ164" s="44"/>
      <c r="DK164" s="44"/>
      <c r="DL164" s="44"/>
      <c r="DM164" s="44"/>
      <c r="DN164" s="44"/>
      <c r="DO164" s="44"/>
      <c r="DP164" s="44"/>
      <c r="DQ164" s="44"/>
      <c r="DR164" s="44"/>
      <c r="DS164" s="44"/>
      <c r="DT164" s="44"/>
      <c r="DU164" s="44"/>
      <c r="DV164" s="44"/>
      <c r="DW164" s="44"/>
      <c r="DX164" s="44"/>
      <c r="DY164" s="44"/>
      <c r="DZ164" s="44"/>
      <c r="EA164" s="44"/>
      <c r="EB164" s="44"/>
      <c r="EC164" s="44"/>
      <c r="ED164" s="44"/>
      <c r="EE164" s="44"/>
      <c r="EF164" s="44"/>
      <c r="EG164" s="44"/>
    </row>
    <row r="165" spans="1:137" ht="24.95" customHeight="1">
      <c r="A165" s="14"/>
      <c r="B165" s="44"/>
      <c r="C165" s="224"/>
      <c r="D165" s="224"/>
      <c r="E165" s="224"/>
      <c r="F165" s="224"/>
      <c r="G165" s="224"/>
      <c r="H165" s="224"/>
      <c r="I165" s="224"/>
      <c r="J165" s="224"/>
      <c r="K165" s="224"/>
      <c r="L165" s="224"/>
      <c r="M165" s="83"/>
      <c r="N165" s="83"/>
      <c r="O165" s="83"/>
      <c r="P165" s="44"/>
      <c r="Q165" s="44"/>
      <c r="R165" s="44"/>
      <c r="S165" s="44"/>
      <c r="V165" s="34" t="s">
        <v>59</v>
      </c>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c r="DB165" s="44"/>
      <c r="DC165" s="44"/>
      <c r="DD165" s="44"/>
      <c r="DE165" s="44"/>
      <c r="DF165" s="44"/>
      <c r="DG165" s="44"/>
      <c r="DH165" s="44"/>
      <c r="DI165" s="44"/>
      <c r="DJ165" s="44"/>
      <c r="DK165" s="44"/>
      <c r="DL165" s="44"/>
      <c r="DM165" s="44"/>
      <c r="DN165" s="44"/>
      <c r="DO165" s="44"/>
      <c r="DP165" s="44"/>
      <c r="DQ165" s="44"/>
      <c r="DR165" s="44"/>
      <c r="DS165" s="44"/>
      <c r="DT165" s="44"/>
      <c r="DU165" s="44"/>
      <c r="DV165" s="44"/>
      <c r="DW165" s="44"/>
      <c r="DX165" s="44"/>
      <c r="DY165" s="44"/>
      <c r="DZ165" s="44"/>
      <c r="EA165" s="44"/>
      <c r="EB165" s="44"/>
      <c r="EC165" s="44"/>
      <c r="ED165" s="44"/>
      <c r="EE165" s="44"/>
      <c r="EF165" s="44"/>
      <c r="EG165" s="44"/>
    </row>
    <row r="166" spans="1:137" ht="15" customHeight="1">
      <c r="A166" s="14"/>
      <c r="B166" s="44"/>
      <c r="C166" s="88"/>
      <c r="D166" s="88"/>
      <c r="E166" s="88"/>
      <c r="F166" s="88"/>
      <c r="G166" s="88"/>
      <c r="H166" s="88"/>
      <c r="I166" s="88"/>
      <c r="J166" s="88"/>
      <c r="K166" s="88"/>
      <c r="L166" s="88"/>
      <c r="M166" s="83"/>
      <c r="N166" s="83"/>
      <c r="O166" s="83"/>
      <c r="P166" s="44"/>
      <c r="Q166" s="44"/>
      <c r="R166" s="44"/>
      <c r="S166" s="44"/>
      <c r="V166" s="34" t="s">
        <v>58</v>
      </c>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row>
    <row r="167" spans="1:137">
      <c r="A167" s="14"/>
      <c r="B167" s="44"/>
      <c r="C167" s="88"/>
      <c r="D167" s="88"/>
      <c r="E167" s="88"/>
      <c r="F167" s="88"/>
      <c r="G167" s="88"/>
      <c r="H167" s="88"/>
      <c r="I167" s="88"/>
      <c r="J167" s="88"/>
      <c r="K167" s="88"/>
      <c r="L167" s="88"/>
      <c r="M167" s="88"/>
      <c r="N167" s="88"/>
      <c r="O167" s="88"/>
      <c r="P167" s="44"/>
      <c r="Q167" s="44"/>
      <c r="R167" s="44"/>
      <c r="S167" s="44"/>
      <c r="V167" s="8"/>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row>
    <row r="168" spans="1:137" ht="15" customHeight="1">
      <c r="A168" s="14"/>
      <c r="B168" s="44"/>
      <c r="C168" s="219" t="str">
        <f>IF($W$59=TRUE,"Handelsnavn","")</f>
        <v/>
      </c>
      <c r="D168" s="219"/>
      <c r="E168" s="219" t="str">
        <f>IF($W$59=TRUE,"Type 
(se over)","")</f>
        <v/>
      </c>
      <c r="F168" s="220" t="str">
        <f>IF($W$59=TRUE,"VOC-innhold (gram/liter, alt. bekreftelse)","")</f>
        <v/>
      </c>
      <c r="G168" s="220"/>
      <c r="H168" s="220" t="str">
        <f>IF($W$59=TRUE,"Vannbasert (VB) eller løsemiddelbasert (LB)","")</f>
        <v/>
      </c>
      <c r="I168" s="220"/>
      <c r="J168" s="218" t="str">
        <f>IF($W$59=TRUE,"VOC-emisjoner etter 3 døgn (mg/m²h el. mg/m³)","")</f>
        <v/>
      </c>
      <c r="K168" s="218"/>
      <c r="L168" s="219" t="str">
        <f>IF($W$59=TRUE,"Svanemerke/
EU-blomst","")</f>
        <v/>
      </c>
      <c r="M168" s="220"/>
      <c r="N168" s="89"/>
      <c r="O168" s="89"/>
      <c r="P168" s="220"/>
      <c r="Q168" s="220"/>
      <c r="R168" s="44"/>
      <c r="S168" s="44"/>
      <c r="V168" s="8" t="s">
        <v>22</v>
      </c>
      <c r="BU168" s="44"/>
      <c r="BV168" s="44"/>
      <c r="BW168" s="44"/>
      <c r="BX168" s="44"/>
      <c r="BY168" s="44"/>
      <c r="BZ168" s="44"/>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c r="DB168" s="44"/>
      <c r="DC168" s="44"/>
      <c r="DD168" s="44"/>
      <c r="DE168" s="44"/>
      <c r="DF168" s="44"/>
      <c r="DG168" s="44"/>
      <c r="DH168" s="44"/>
      <c r="DI168" s="44"/>
      <c r="DJ168" s="44"/>
      <c r="DK168" s="44"/>
      <c r="DL168" s="44"/>
      <c r="DM168" s="44"/>
      <c r="DN168" s="44"/>
      <c r="DO168" s="44"/>
      <c r="DP168" s="44"/>
      <c r="DQ168" s="44"/>
      <c r="DR168" s="44"/>
      <c r="DS168" s="44"/>
      <c r="DT168" s="44"/>
      <c r="DU168" s="44"/>
      <c r="DV168" s="44"/>
      <c r="DW168" s="44"/>
      <c r="DX168" s="44"/>
      <c r="DY168" s="44"/>
      <c r="DZ168" s="44"/>
      <c r="EA168" s="44"/>
      <c r="EB168" s="44"/>
      <c r="EC168" s="44"/>
      <c r="ED168" s="44"/>
      <c r="EE168" s="44"/>
      <c r="EF168" s="44"/>
      <c r="EG168" s="44"/>
    </row>
    <row r="169" spans="1:137">
      <c r="A169" s="14"/>
      <c r="B169" s="44"/>
      <c r="C169" s="219"/>
      <c r="D169" s="219"/>
      <c r="E169" s="219"/>
      <c r="F169" s="90" t="str">
        <f>IF($W$59=TRUE,"gram pr. liter","")</f>
        <v/>
      </c>
      <c r="G169" s="90" t="str">
        <f>IF($W$59=TRUE,"Bekreftelse fra produsent","")</f>
        <v/>
      </c>
      <c r="H169" s="220"/>
      <c r="I169" s="220"/>
      <c r="J169" s="218"/>
      <c r="K169" s="218"/>
      <c r="L169" s="219"/>
      <c r="M169" s="220"/>
      <c r="N169" s="89"/>
      <c r="O169" s="89"/>
      <c r="P169" s="220"/>
      <c r="Q169" s="220"/>
      <c r="R169" s="44"/>
      <c r="S169" s="44"/>
      <c r="V169" s="8" t="s">
        <v>23</v>
      </c>
      <c r="BU169" s="44"/>
      <c r="BV169" s="44"/>
      <c r="BW169" s="44"/>
      <c r="BX169" s="44"/>
      <c r="BY169" s="44"/>
      <c r="BZ169" s="44"/>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c r="DB169" s="44"/>
      <c r="DC169" s="44"/>
      <c r="DD169" s="44"/>
      <c r="DE169" s="44"/>
      <c r="DF169" s="44"/>
      <c r="DG169" s="44"/>
      <c r="DH169" s="44"/>
      <c r="DI169" s="44"/>
      <c r="DJ169" s="44"/>
      <c r="DK169" s="44"/>
      <c r="DL169" s="44"/>
      <c r="DM169" s="44"/>
      <c r="DN169" s="44"/>
      <c r="DO169" s="44"/>
      <c r="DP169" s="44"/>
      <c r="DQ169" s="44"/>
      <c r="DR169" s="44"/>
      <c r="DS169" s="44"/>
      <c r="DT169" s="44"/>
      <c r="DU169" s="44"/>
      <c r="DV169" s="44"/>
      <c r="DW169" s="44"/>
      <c r="DX169" s="44"/>
      <c r="DY169" s="44"/>
      <c r="DZ169" s="44"/>
      <c r="EA169" s="44"/>
      <c r="EB169" s="44"/>
      <c r="EC169" s="44"/>
      <c r="ED169" s="44"/>
      <c r="EE169" s="44"/>
      <c r="EF169" s="44"/>
      <c r="EG169" s="44"/>
    </row>
    <row r="170" spans="1:137" ht="15" customHeight="1">
      <c r="A170" s="14"/>
      <c r="B170" s="44"/>
      <c r="C170" s="170"/>
      <c r="D170" s="170"/>
      <c r="E170" s="73"/>
      <c r="F170" s="73"/>
      <c r="G170" s="74"/>
      <c r="H170" s="201"/>
      <c r="I170" s="201"/>
      <c r="J170" s="56"/>
      <c r="K170" s="56"/>
      <c r="L170" s="73"/>
      <c r="M170" s="91"/>
      <c r="N170" s="89"/>
      <c r="O170" s="89"/>
      <c r="P170" s="89"/>
      <c r="Q170" s="91"/>
      <c r="R170" s="44"/>
      <c r="S170" s="44"/>
      <c r="U170" s="3" t="b">
        <f t="shared" ref="U170:U179" si="5">IF(E170="a",TRUE,IF(E170="b",TRUE,FALSE))</f>
        <v>0</v>
      </c>
      <c r="V170" s="8" t="s">
        <v>24</v>
      </c>
      <c r="BU170" s="44"/>
      <c r="BV170" s="44"/>
      <c r="BW170" s="44"/>
      <c r="BX170" s="44"/>
      <c r="BY170" s="44"/>
      <c r="BZ170" s="44"/>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c r="DB170" s="44"/>
      <c r="DC170" s="44"/>
      <c r="DD170" s="44"/>
      <c r="DE170" s="44"/>
      <c r="DF170" s="44"/>
      <c r="DG170" s="44"/>
      <c r="DH170" s="44"/>
      <c r="DI170" s="44"/>
      <c r="DJ170" s="44"/>
      <c r="DK170" s="44"/>
      <c r="DL170" s="44"/>
      <c r="DM170" s="44"/>
      <c r="DN170" s="44"/>
      <c r="DO170" s="44"/>
      <c r="DP170" s="44"/>
      <c r="DQ170" s="44"/>
      <c r="DR170" s="44"/>
      <c r="DS170" s="44"/>
      <c r="DT170" s="44"/>
      <c r="DU170" s="44"/>
      <c r="DV170" s="44"/>
      <c r="DW170" s="44"/>
      <c r="DX170" s="44"/>
      <c r="DY170" s="44"/>
      <c r="DZ170" s="44"/>
      <c r="EA170" s="44"/>
      <c r="EB170" s="44"/>
      <c r="EC170" s="44"/>
      <c r="ED170" s="44"/>
      <c r="EE170" s="44"/>
      <c r="EF170" s="44"/>
      <c r="EG170" s="44"/>
    </row>
    <row r="171" spans="1:137" ht="15" customHeight="1">
      <c r="A171" s="14"/>
      <c r="B171" s="44"/>
      <c r="C171" s="170"/>
      <c r="D171" s="170"/>
      <c r="E171" s="73"/>
      <c r="F171" s="73"/>
      <c r="G171" s="74"/>
      <c r="H171" s="201"/>
      <c r="I171" s="201"/>
      <c r="J171" s="56"/>
      <c r="K171" s="56"/>
      <c r="L171" s="73"/>
      <c r="M171" s="91"/>
      <c r="N171" s="89"/>
      <c r="O171" s="89"/>
      <c r="P171" s="89"/>
      <c r="Q171" s="44"/>
      <c r="R171" s="44"/>
      <c r="S171" s="44"/>
      <c r="U171" s="3" t="b">
        <f t="shared" si="5"/>
        <v>0</v>
      </c>
      <c r="BU171" s="44"/>
      <c r="BV171" s="44"/>
      <c r="BW171" s="44"/>
      <c r="BX171" s="44"/>
      <c r="BY171" s="44"/>
      <c r="BZ171" s="44"/>
      <c r="CA171" s="44"/>
      <c r="CB171" s="44"/>
      <c r="CC171" s="44"/>
      <c r="CD171" s="44"/>
      <c r="CE171" s="44"/>
      <c r="CF171" s="44"/>
      <c r="CG171" s="44"/>
      <c r="CH171" s="44"/>
      <c r="CI171" s="44"/>
      <c r="CJ171" s="44"/>
      <c r="CK171" s="44"/>
      <c r="CL171" s="44"/>
      <c r="CM171" s="44"/>
      <c r="CN171" s="44"/>
      <c r="CO171" s="44"/>
      <c r="CP171" s="44"/>
      <c r="CQ171" s="44"/>
      <c r="CR171" s="44"/>
      <c r="CS171" s="44"/>
      <c r="CT171" s="44"/>
      <c r="CU171" s="44"/>
      <c r="CV171" s="44"/>
      <c r="CW171" s="44"/>
      <c r="CX171" s="44"/>
      <c r="CY171" s="44"/>
      <c r="CZ171" s="44"/>
      <c r="DA171" s="44"/>
      <c r="DB171" s="44"/>
      <c r="DC171" s="44"/>
      <c r="DD171" s="44"/>
      <c r="DE171" s="44"/>
      <c r="DF171" s="44"/>
      <c r="DG171" s="44"/>
      <c r="DH171" s="44"/>
      <c r="DI171" s="44"/>
      <c r="DJ171" s="44"/>
      <c r="DK171" s="44"/>
      <c r="DL171" s="44"/>
      <c r="DM171" s="44"/>
      <c r="DN171" s="44"/>
      <c r="DO171" s="44"/>
      <c r="DP171" s="44"/>
      <c r="DQ171" s="44"/>
      <c r="DR171" s="44"/>
      <c r="DS171" s="44"/>
      <c r="DT171" s="44"/>
      <c r="DU171" s="44"/>
      <c r="DV171" s="44"/>
      <c r="DW171" s="44"/>
      <c r="DX171" s="44"/>
      <c r="DY171" s="44"/>
      <c r="DZ171" s="44"/>
      <c r="EA171" s="44"/>
      <c r="EB171" s="44"/>
      <c r="EC171" s="44"/>
      <c r="ED171" s="44"/>
      <c r="EE171" s="44"/>
      <c r="EF171" s="44"/>
      <c r="EG171" s="44"/>
    </row>
    <row r="172" spans="1:137" ht="15" customHeight="1">
      <c r="A172" s="14"/>
      <c r="B172" s="44"/>
      <c r="C172" s="170"/>
      <c r="D172" s="170"/>
      <c r="E172" s="73"/>
      <c r="F172" s="73"/>
      <c r="G172" s="74"/>
      <c r="H172" s="201"/>
      <c r="I172" s="201"/>
      <c r="J172" s="56"/>
      <c r="K172" s="56"/>
      <c r="L172" s="73"/>
      <c r="M172" s="91"/>
      <c r="N172" s="89"/>
      <c r="O172" s="89"/>
      <c r="P172" s="89"/>
      <c r="Q172" s="44"/>
      <c r="R172" s="44"/>
      <c r="S172" s="44"/>
      <c r="U172" s="3" t="b">
        <f t="shared" si="5"/>
        <v>0</v>
      </c>
      <c r="Y172" s="24"/>
      <c r="Z172" s="5"/>
      <c r="AA172" s="5"/>
      <c r="AC172" s="5"/>
      <c r="BU172" s="44"/>
      <c r="BV172" s="44"/>
      <c r="BW172" s="44"/>
      <c r="BX172" s="44"/>
      <c r="BY172" s="44"/>
      <c r="BZ172" s="44"/>
      <c r="CA172" s="44"/>
      <c r="CB172" s="44"/>
      <c r="CC172" s="44"/>
      <c r="CD172" s="44"/>
      <c r="CE172" s="44"/>
      <c r="CF172" s="44"/>
      <c r="CG172" s="44"/>
      <c r="CH172" s="44"/>
      <c r="CI172" s="44"/>
      <c r="CJ172" s="44"/>
      <c r="CK172" s="44"/>
      <c r="CL172" s="44"/>
      <c r="CM172" s="44"/>
      <c r="CN172" s="44"/>
      <c r="CO172" s="44"/>
      <c r="CP172" s="44"/>
      <c r="CQ172" s="44"/>
      <c r="CR172" s="44"/>
      <c r="CS172" s="44"/>
      <c r="CT172" s="44"/>
      <c r="CU172" s="44"/>
      <c r="CV172" s="44"/>
      <c r="CW172" s="44"/>
      <c r="CX172" s="44"/>
      <c r="CY172" s="44"/>
      <c r="CZ172" s="44"/>
      <c r="DA172" s="44"/>
      <c r="DB172" s="44"/>
      <c r="DC172" s="44"/>
      <c r="DD172" s="44"/>
      <c r="DE172" s="44"/>
      <c r="DF172" s="44"/>
      <c r="DG172" s="44"/>
      <c r="DH172" s="44"/>
      <c r="DI172" s="44"/>
      <c r="DJ172" s="44"/>
      <c r="DK172" s="44"/>
      <c r="DL172" s="44"/>
      <c r="DM172" s="44"/>
      <c r="DN172" s="44"/>
      <c r="DO172" s="44"/>
      <c r="DP172" s="44"/>
      <c r="DQ172" s="44"/>
      <c r="DR172" s="44"/>
      <c r="DS172" s="44"/>
      <c r="DT172" s="44"/>
      <c r="DU172" s="44"/>
      <c r="DV172" s="44"/>
      <c r="DW172" s="44"/>
      <c r="DX172" s="44"/>
      <c r="DY172" s="44"/>
      <c r="DZ172" s="44"/>
      <c r="EA172" s="44"/>
      <c r="EB172" s="44"/>
      <c r="EC172" s="44"/>
      <c r="ED172" s="44"/>
      <c r="EE172" s="44"/>
      <c r="EF172" s="44"/>
      <c r="EG172" s="44"/>
    </row>
    <row r="173" spans="1:137">
      <c r="A173" s="14"/>
      <c r="B173" s="44"/>
      <c r="C173" s="170"/>
      <c r="D173" s="170"/>
      <c r="E173" s="73"/>
      <c r="F173" s="73"/>
      <c r="G173" s="74"/>
      <c r="H173" s="201"/>
      <c r="I173" s="201"/>
      <c r="J173" s="56"/>
      <c r="K173" s="56"/>
      <c r="L173" s="73"/>
      <c r="M173" s="91"/>
      <c r="N173" s="89"/>
      <c r="O173" s="89"/>
      <c r="P173" s="89"/>
      <c r="Q173" s="44"/>
      <c r="R173" s="44"/>
      <c r="S173" s="44"/>
      <c r="U173" s="3" t="b">
        <f t="shared" si="5"/>
        <v>0</v>
      </c>
      <c r="Y173" s="24"/>
      <c r="Z173" s="5"/>
      <c r="AA173" s="5"/>
      <c r="AC173" s="5"/>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row>
    <row r="174" spans="1:137" ht="15" customHeight="1">
      <c r="A174" s="14"/>
      <c r="B174" s="44"/>
      <c r="C174" s="170"/>
      <c r="D174" s="170"/>
      <c r="E174" s="73"/>
      <c r="F174" s="73"/>
      <c r="G174" s="74"/>
      <c r="H174" s="201"/>
      <c r="I174" s="201"/>
      <c r="J174" s="56"/>
      <c r="K174" s="56"/>
      <c r="L174" s="73"/>
      <c r="M174" s="91"/>
      <c r="N174" s="89"/>
      <c r="O174" s="89"/>
      <c r="P174" s="89"/>
      <c r="Q174" s="44"/>
      <c r="R174" s="44"/>
      <c r="S174" s="44"/>
      <c r="U174" s="3" t="b">
        <f t="shared" si="5"/>
        <v>0</v>
      </c>
      <c r="V174" s="8" t="s">
        <v>35</v>
      </c>
      <c r="W174" s="3" t="s">
        <v>42</v>
      </c>
      <c r="Y174" s="24"/>
      <c r="Z174" s="5"/>
      <c r="AA174" s="5"/>
      <c r="AC174" s="5"/>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4"/>
      <c r="DH174" s="44"/>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row>
    <row r="175" spans="1:137">
      <c r="A175" s="14"/>
      <c r="B175" s="44"/>
      <c r="C175" s="170"/>
      <c r="D175" s="170"/>
      <c r="E175" s="73"/>
      <c r="F175" s="73"/>
      <c r="G175" s="74"/>
      <c r="H175" s="201"/>
      <c r="I175" s="201"/>
      <c r="J175" s="56"/>
      <c r="K175" s="56"/>
      <c r="L175" s="73"/>
      <c r="M175" s="91"/>
      <c r="N175" s="89"/>
      <c r="O175" s="89"/>
      <c r="P175" s="89"/>
      <c r="Q175" s="44"/>
      <c r="R175" s="44"/>
      <c r="S175" s="44"/>
      <c r="U175" s="3" t="b">
        <f t="shared" si="5"/>
        <v>0</v>
      </c>
      <c r="V175" s="8" t="s">
        <v>34</v>
      </c>
      <c r="W175" s="3" t="s">
        <v>43</v>
      </c>
      <c r="BU175" s="44"/>
      <c r="BV175" s="44"/>
      <c r="BW175" s="44"/>
      <c r="BX175" s="44"/>
      <c r="BY175" s="44"/>
      <c r="BZ175" s="44"/>
      <c r="CA175" s="44"/>
      <c r="CB175" s="44"/>
      <c r="CC175" s="44"/>
      <c r="CD175" s="44"/>
      <c r="CE175" s="44"/>
      <c r="CF175" s="44"/>
      <c r="CG175" s="44"/>
      <c r="CH175" s="44"/>
      <c r="CI175" s="44"/>
      <c r="CJ175" s="44"/>
      <c r="CK175" s="44"/>
      <c r="CL175" s="44"/>
      <c r="CM175" s="44"/>
      <c r="CN175" s="44"/>
      <c r="CO175" s="44"/>
      <c r="CP175" s="44"/>
      <c r="CQ175" s="44"/>
      <c r="CR175" s="44"/>
      <c r="CS175" s="44"/>
      <c r="CT175" s="44"/>
      <c r="CU175" s="44"/>
      <c r="CV175" s="44"/>
      <c r="CW175" s="44"/>
      <c r="CX175" s="44"/>
      <c r="CY175" s="44"/>
      <c r="CZ175" s="44"/>
      <c r="DA175" s="44"/>
      <c r="DB175" s="44"/>
      <c r="DC175" s="44"/>
      <c r="DD175" s="44"/>
      <c r="DE175" s="44"/>
      <c r="DF175" s="44"/>
      <c r="DG175" s="44"/>
      <c r="DH175" s="44"/>
      <c r="DI175" s="44"/>
      <c r="DJ175" s="44"/>
      <c r="DK175" s="44"/>
      <c r="DL175" s="44"/>
      <c r="DM175" s="44"/>
      <c r="DN175" s="44"/>
      <c r="DO175" s="44"/>
      <c r="DP175" s="44"/>
      <c r="DQ175" s="44"/>
      <c r="DR175" s="44"/>
      <c r="DS175" s="44"/>
      <c r="DT175" s="44"/>
      <c r="DU175" s="44"/>
      <c r="DV175" s="44"/>
      <c r="DW175" s="44"/>
      <c r="DX175" s="44"/>
      <c r="DY175" s="44"/>
      <c r="DZ175" s="44"/>
      <c r="EA175" s="44"/>
      <c r="EB175" s="44"/>
      <c r="EC175" s="44"/>
      <c r="ED175" s="44"/>
      <c r="EE175" s="44"/>
      <c r="EF175" s="44"/>
      <c r="EG175" s="44"/>
    </row>
    <row r="176" spans="1:137">
      <c r="A176" s="14"/>
      <c r="B176" s="44"/>
      <c r="C176" s="170"/>
      <c r="D176" s="170"/>
      <c r="E176" s="73"/>
      <c r="F176" s="73"/>
      <c r="G176" s="74"/>
      <c r="H176" s="201"/>
      <c r="I176" s="201"/>
      <c r="J176" s="56"/>
      <c r="K176" s="56"/>
      <c r="L176" s="73"/>
      <c r="M176" s="91"/>
      <c r="N176" s="89"/>
      <c r="O176" s="89"/>
      <c r="P176" s="89"/>
      <c r="Q176" s="44"/>
      <c r="R176" s="44"/>
      <c r="S176" s="44"/>
      <c r="U176" s="3" t="b">
        <f t="shared" si="5"/>
        <v>0</v>
      </c>
      <c r="V176" s="3" t="s">
        <v>79</v>
      </c>
      <c r="Z176" s="3" t="s">
        <v>66</v>
      </c>
      <c r="AF176" s="30" t="str">
        <f>IF(W59=TRUE,"a) Matt innendørs vegg- og takmaling (glansgrad ≤ 25 @ 60°)","")</f>
        <v/>
      </c>
      <c r="AO176" s="3" t="s">
        <v>3</v>
      </c>
      <c r="BU176" s="44"/>
      <c r="BV176" s="44"/>
      <c r="BW176" s="44"/>
      <c r="BX176" s="44"/>
      <c r="BY176" s="44"/>
      <c r="BZ176" s="44"/>
      <c r="CA176" s="44"/>
      <c r="CB176" s="44"/>
      <c r="CC176" s="44"/>
      <c r="CD176" s="44"/>
      <c r="CE176" s="44"/>
      <c r="CF176" s="44"/>
      <c r="CG176" s="44"/>
      <c r="CH176" s="44"/>
      <c r="CI176" s="44"/>
      <c r="CJ176" s="44"/>
      <c r="CK176" s="44"/>
      <c r="CL176" s="44"/>
      <c r="CM176" s="44"/>
      <c r="CN176" s="44"/>
      <c r="CO176" s="44"/>
      <c r="CP176" s="44"/>
      <c r="CQ176" s="44"/>
      <c r="CR176" s="44"/>
      <c r="CS176" s="44"/>
      <c r="CT176" s="44"/>
      <c r="CU176" s="44"/>
      <c r="CV176" s="44"/>
      <c r="CW176" s="44"/>
      <c r="CX176" s="44"/>
      <c r="CY176" s="44"/>
      <c r="CZ176" s="44"/>
      <c r="DA176" s="44"/>
      <c r="DB176" s="44"/>
      <c r="DC176" s="44"/>
      <c r="DD176" s="44"/>
      <c r="DE176" s="44"/>
      <c r="DF176" s="44"/>
      <c r="DG176" s="44"/>
      <c r="DH176" s="44"/>
      <c r="DI176" s="44"/>
      <c r="DJ176" s="44"/>
      <c r="DK176" s="44"/>
      <c r="DL176" s="44"/>
      <c r="DM176" s="44"/>
      <c r="DN176" s="44"/>
      <c r="DO176" s="44"/>
      <c r="DP176" s="44"/>
      <c r="DQ176" s="44"/>
      <c r="DR176" s="44"/>
      <c r="DS176" s="44"/>
      <c r="DT176" s="44"/>
      <c r="DU176" s="44"/>
      <c r="DV176" s="44"/>
      <c r="DW176" s="44"/>
      <c r="DX176" s="44"/>
      <c r="DY176" s="44"/>
      <c r="DZ176" s="44"/>
      <c r="EA176" s="44"/>
      <c r="EB176" s="44"/>
      <c r="EC176" s="44"/>
      <c r="ED176" s="44"/>
      <c r="EE176" s="44"/>
      <c r="EF176" s="44"/>
      <c r="EG176" s="44"/>
    </row>
    <row r="177" spans="1:137">
      <c r="A177" s="14"/>
      <c r="B177" s="44"/>
      <c r="C177" s="170"/>
      <c r="D177" s="170"/>
      <c r="E177" s="73"/>
      <c r="F177" s="73"/>
      <c r="G177" s="74"/>
      <c r="H177" s="201"/>
      <c r="I177" s="201"/>
      <c r="J177" s="56"/>
      <c r="K177" s="56"/>
      <c r="L177" s="73"/>
      <c r="M177" s="91"/>
      <c r="N177" s="89"/>
      <c r="O177" s="89"/>
      <c r="P177" s="89"/>
      <c r="Q177" s="44"/>
      <c r="R177" s="44"/>
      <c r="S177" s="44"/>
      <c r="U177" s="3" t="b">
        <f t="shared" si="5"/>
        <v>0</v>
      </c>
      <c r="V177" s="3" t="s">
        <v>80</v>
      </c>
      <c r="W177" s="8" t="s">
        <v>63</v>
      </c>
      <c r="Z177" s="3" t="s">
        <v>78</v>
      </c>
      <c r="AF177" s="30" t="str">
        <f>IF(W59=TRUE,"b) Blank innendørs vegg- og takmaling (glansgrad &gt; 25 @ 60°)","")</f>
        <v/>
      </c>
      <c r="AO177" s="3" t="s">
        <v>21</v>
      </c>
      <c r="BU177" s="44"/>
      <c r="BV177" s="44"/>
      <c r="BW177" s="44"/>
      <c r="BX177" s="44"/>
      <c r="BY177" s="44"/>
      <c r="BZ177" s="44"/>
      <c r="CA177" s="44"/>
      <c r="CB177" s="44"/>
      <c r="CC177" s="44"/>
      <c r="CD177" s="44"/>
      <c r="CE177" s="44"/>
      <c r="CF177" s="44"/>
      <c r="CG177" s="44"/>
      <c r="CH177" s="44"/>
      <c r="CI177" s="44"/>
      <c r="CJ177" s="44"/>
      <c r="CK177" s="44"/>
      <c r="CL177" s="44"/>
      <c r="CM177" s="44"/>
      <c r="CN177" s="44"/>
      <c r="CO177" s="44"/>
      <c r="CP177" s="44"/>
      <c r="CQ177" s="44"/>
      <c r="CR177" s="44"/>
      <c r="CS177" s="44"/>
      <c r="CT177" s="44"/>
      <c r="CU177" s="44"/>
      <c r="CV177" s="44"/>
      <c r="CW177" s="44"/>
      <c r="CX177" s="44"/>
      <c r="CY177" s="44"/>
      <c r="CZ177" s="44"/>
      <c r="DA177" s="44"/>
      <c r="DB177" s="44"/>
      <c r="DC177" s="44"/>
      <c r="DD177" s="44"/>
      <c r="DE177" s="44"/>
      <c r="DF177" s="44"/>
      <c r="DG177" s="44"/>
      <c r="DH177" s="44"/>
      <c r="DI177" s="44"/>
      <c r="DJ177" s="44"/>
      <c r="DK177" s="44"/>
      <c r="DL177" s="44"/>
      <c r="DM177" s="44"/>
      <c r="DN177" s="44"/>
      <c r="DO177" s="44"/>
      <c r="DP177" s="44"/>
      <c r="DQ177" s="44"/>
      <c r="DR177" s="44"/>
      <c r="DS177" s="44"/>
      <c r="DT177" s="44"/>
      <c r="DU177" s="44"/>
      <c r="DV177" s="44"/>
      <c r="DW177" s="44"/>
      <c r="DX177" s="44"/>
      <c r="DY177" s="44"/>
      <c r="DZ177" s="44"/>
      <c r="EA177" s="44"/>
      <c r="EB177" s="44"/>
      <c r="EC177" s="44"/>
      <c r="ED177" s="44"/>
      <c r="EE177" s="44"/>
      <c r="EF177" s="44"/>
      <c r="EG177" s="44"/>
    </row>
    <row r="178" spans="1:137">
      <c r="A178" s="14"/>
      <c r="B178" s="44"/>
      <c r="C178" s="170"/>
      <c r="D178" s="170"/>
      <c r="E178" s="73"/>
      <c r="F178" s="73"/>
      <c r="G178" s="74"/>
      <c r="H178" s="201"/>
      <c r="I178" s="201"/>
      <c r="J178" s="56"/>
      <c r="K178" s="56"/>
      <c r="L178" s="73"/>
      <c r="M178" s="91"/>
      <c r="N178" s="89"/>
      <c r="O178" s="89"/>
      <c r="P178" s="89"/>
      <c r="Q178" s="44"/>
      <c r="R178" s="44"/>
      <c r="S178" s="44"/>
      <c r="U178" s="3" t="b">
        <f t="shared" si="5"/>
        <v>0</v>
      </c>
      <c r="V178" s="3" t="s">
        <v>36</v>
      </c>
      <c r="W178" s="3" t="b">
        <f>IF(G170="",TRUE,FALSE)</f>
        <v>1</v>
      </c>
      <c r="X178" s="3" t="b">
        <f t="shared" ref="X178:X187" si="6">IF(F170="",TRUE,FALSE)</f>
        <v>1</v>
      </c>
      <c r="Y178" s="3" t="b">
        <f>AND(W178,X178)</f>
        <v>1</v>
      </c>
      <c r="Z178" s="12" t="str">
        <f t="shared" ref="Z178:Z187" si="7">IF(Y178=TRUE,"",IF(W178=FALSE,$Z$177,F170&amp;" "&amp;$Z$176))</f>
        <v/>
      </c>
      <c r="AA178" s="12"/>
      <c r="AC178" s="4" t="b">
        <f>IF(E170="",TRUE,IF(E170="a",TRUE,IF(E170="b",TRUE,FALSE)))</f>
        <v>1</v>
      </c>
      <c r="AD178" s="12" t="str">
        <f>IF(H170="Løsemiddelbasert","Løsemiddelbasert",IF(H170="Vannbasert","Vannbasert",""))</f>
        <v/>
      </c>
      <c r="AF178" s="30" t="str">
        <f>IF(W59=TRUE,"c) Utendørs maling for mineralske flater","")</f>
        <v/>
      </c>
      <c r="AO178" s="3" t="s">
        <v>4</v>
      </c>
      <c r="BU178" s="44"/>
      <c r="BV178" s="44"/>
      <c r="BW178" s="44"/>
      <c r="BX178" s="44"/>
      <c r="BY178" s="44"/>
      <c r="BZ178" s="44"/>
      <c r="CA178" s="44"/>
      <c r="CB178" s="44"/>
      <c r="CC178" s="44"/>
      <c r="CD178" s="44"/>
      <c r="CE178" s="44"/>
      <c r="CF178" s="44"/>
      <c r="CG178" s="44"/>
      <c r="CH178" s="44"/>
      <c r="CI178" s="44"/>
      <c r="CJ178" s="44"/>
      <c r="CK178" s="44"/>
      <c r="CL178" s="44"/>
      <c r="CM178" s="44"/>
      <c r="CN178" s="44"/>
      <c r="CO178" s="44"/>
      <c r="CP178" s="44"/>
      <c r="CQ178" s="44"/>
      <c r="CR178" s="44"/>
      <c r="CS178" s="44"/>
      <c r="CT178" s="44"/>
      <c r="CU178" s="44"/>
      <c r="CV178" s="44"/>
      <c r="CW178" s="44"/>
      <c r="CX178" s="44"/>
      <c r="CY178" s="44"/>
      <c r="CZ178" s="44"/>
      <c r="DA178" s="44"/>
      <c r="DB178" s="44"/>
      <c r="DC178" s="44"/>
      <c r="DD178" s="44"/>
      <c r="DE178" s="44"/>
      <c r="DF178" s="44"/>
      <c r="DG178" s="44"/>
      <c r="DH178" s="44"/>
      <c r="DI178" s="44"/>
      <c r="DJ178" s="44"/>
      <c r="DK178" s="44"/>
      <c r="DL178" s="44"/>
      <c r="DM178" s="44"/>
      <c r="DN178" s="44"/>
      <c r="DO178" s="44"/>
      <c r="DP178" s="44"/>
      <c r="DQ178" s="44"/>
      <c r="DR178" s="44"/>
      <c r="DS178" s="44"/>
      <c r="DT178" s="44"/>
      <c r="DU178" s="44"/>
      <c r="DV178" s="44"/>
      <c r="DW178" s="44"/>
      <c r="DX178" s="44"/>
      <c r="DY178" s="44"/>
      <c r="DZ178" s="44"/>
      <c r="EA178" s="44"/>
      <c r="EB178" s="44"/>
      <c r="EC178" s="44"/>
      <c r="ED178" s="44"/>
      <c r="EE178" s="44"/>
      <c r="EF178" s="44"/>
      <c r="EG178" s="44"/>
    </row>
    <row r="179" spans="1:137" ht="15" customHeight="1">
      <c r="A179" s="14"/>
      <c r="B179" s="44"/>
      <c r="C179" s="170"/>
      <c r="D179" s="170"/>
      <c r="E179" s="73"/>
      <c r="F179" s="73"/>
      <c r="G179" s="74"/>
      <c r="H179" s="201"/>
      <c r="I179" s="201"/>
      <c r="J179" s="56"/>
      <c r="K179" s="56"/>
      <c r="L179" s="73"/>
      <c r="M179" s="119" t="str">
        <f>IF(R67=TRUE,"Til utskrift","")</f>
        <v/>
      </c>
      <c r="N179" s="89"/>
      <c r="O179" s="89"/>
      <c r="P179" s="89"/>
      <c r="Q179" s="44"/>
      <c r="R179" s="44"/>
      <c r="S179" s="44"/>
      <c r="U179" s="3" t="b">
        <f t="shared" si="5"/>
        <v>0</v>
      </c>
      <c r="V179" s="3" t="s">
        <v>33</v>
      </c>
      <c r="W179" s="3" t="b">
        <f t="shared" ref="W179:W187" si="8">IF(G171="",TRUE,FALSE)</f>
        <v>1</v>
      </c>
      <c r="X179" s="3" t="b">
        <f t="shared" si="6"/>
        <v>1</v>
      </c>
      <c r="Y179" s="3" t="b">
        <f t="shared" ref="Y179:Y187" si="9">AND(W179,X179)</f>
        <v>1</v>
      </c>
      <c r="Z179" s="12" t="str">
        <f t="shared" si="7"/>
        <v/>
      </c>
      <c r="AA179" s="12"/>
      <c r="AC179" s="4" t="b">
        <f t="shared" ref="AC179:AC187" si="10">IF(E171="",TRUE,IF(E171="a",TRUE,IF(E171="b",TRUE,FALSE)))</f>
        <v>1</v>
      </c>
      <c r="AD179" s="12" t="str">
        <f t="shared" ref="AD179:AD187" si="11">IF(H171="Løsemiddelbasert","Løsemiddelbasert",IF(H171="Vannbasert","Vannbasert",""))</f>
        <v/>
      </c>
      <c r="AF179" s="30" t="str">
        <f>IF(W59=TRUE,"d) Maling for treverk, metall og plast innendørs/utendørs","")</f>
        <v/>
      </c>
      <c r="AO179" s="3" t="s">
        <v>5</v>
      </c>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row>
    <row r="180" spans="1:137">
      <c r="A180" s="14"/>
      <c r="B180" s="44"/>
      <c r="C180" s="92"/>
      <c r="D180" s="92"/>
      <c r="E180" s="93"/>
      <c r="F180" s="93"/>
      <c r="G180" s="92"/>
      <c r="H180" s="92"/>
      <c r="I180" s="92"/>
      <c r="J180" s="92"/>
      <c r="K180" s="92"/>
      <c r="L180" s="92"/>
      <c r="M180" s="92"/>
      <c r="N180" s="92"/>
      <c r="O180" s="93"/>
      <c r="P180" s="89"/>
      <c r="Q180" s="44"/>
      <c r="R180" s="98"/>
      <c r="S180" s="44"/>
      <c r="V180" s="3" t="s">
        <v>37</v>
      </c>
      <c r="W180" s="3" t="b">
        <f t="shared" si="8"/>
        <v>1</v>
      </c>
      <c r="X180" s="3" t="b">
        <f t="shared" si="6"/>
        <v>1</v>
      </c>
      <c r="Y180" s="3" t="b">
        <f t="shared" si="9"/>
        <v>1</v>
      </c>
      <c r="Z180" s="12" t="str">
        <f t="shared" si="7"/>
        <v/>
      </c>
      <c r="AA180" s="12"/>
      <c r="AC180" s="4" t="b">
        <f>IF(E172="",TRUE,IF(E172="a",TRUE,IF(E172="b",TRUE,FALSE)))</f>
        <v>1</v>
      </c>
      <c r="AD180" s="12" t="str">
        <f t="shared" si="11"/>
        <v/>
      </c>
      <c r="AF180" s="30" t="str">
        <f>IF(W59=TRUE,"e) Lakk, lasur og beis for innendørs/utendørs behandling av tre, metall og plast","")</f>
        <v/>
      </c>
      <c r="AO180" s="3" t="s">
        <v>6</v>
      </c>
      <c r="BU180" s="87"/>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row>
    <row r="181" spans="1:137" ht="15" customHeight="1">
      <c r="A181" s="14"/>
      <c r="B181" s="44"/>
      <c r="C181" s="203" t="str">
        <f>IF(T48=TRUE,"",IF(W188=FALSE,W191,""))</f>
        <v/>
      </c>
      <c r="D181" s="203"/>
      <c r="E181" s="203"/>
      <c r="F181" s="203"/>
      <c r="G181" s="203"/>
      <c r="H181" s="203"/>
      <c r="I181" s="203"/>
      <c r="J181" s="203"/>
      <c r="K181" s="203"/>
      <c r="L181" s="203"/>
      <c r="M181" s="92"/>
      <c r="N181" s="92"/>
      <c r="O181" s="93"/>
      <c r="P181" s="44"/>
      <c r="Q181" s="44"/>
      <c r="R181" s="44"/>
      <c r="S181" s="44"/>
      <c r="V181" s="3" t="s">
        <v>38</v>
      </c>
      <c r="W181" s="3" t="b">
        <f t="shared" si="8"/>
        <v>1</v>
      </c>
      <c r="X181" s="3" t="b">
        <f t="shared" si="6"/>
        <v>1</v>
      </c>
      <c r="Y181" s="3" t="b">
        <f t="shared" si="9"/>
        <v>1</v>
      </c>
      <c r="Z181" s="12" t="str">
        <f t="shared" si="7"/>
        <v/>
      </c>
      <c r="AA181" s="12"/>
      <c r="AC181" s="4" t="b">
        <f t="shared" si="10"/>
        <v>1</v>
      </c>
      <c r="AD181" s="12" t="str">
        <f t="shared" si="11"/>
        <v/>
      </c>
      <c r="AF181" s="30" t="str">
        <f>IF(W59=TRUE,"f) Tynnsjiktet lasur, olje eller beis","")</f>
        <v/>
      </c>
      <c r="AO181" s="3" t="s">
        <v>7</v>
      </c>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row>
    <row r="182" spans="1:137">
      <c r="A182" s="14"/>
      <c r="B182" s="44"/>
      <c r="C182" s="203"/>
      <c r="D182" s="203"/>
      <c r="E182" s="203"/>
      <c r="F182" s="203"/>
      <c r="G182" s="203"/>
      <c r="H182" s="203"/>
      <c r="I182" s="203"/>
      <c r="J182" s="203"/>
      <c r="K182" s="203"/>
      <c r="L182" s="203"/>
      <c r="M182" s="92"/>
      <c r="N182" s="92"/>
      <c r="O182" s="93"/>
      <c r="P182" s="44"/>
      <c r="Q182" s="44"/>
      <c r="R182" s="44"/>
      <c r="S182" s="45"/>
      <c r="T182" s="4"/>
      <c r="U182" s="4"/>
      <c r="V182" s="4" t="s">
        <v>28</v>
      </c>
      <c r="W182" s="3" t="b">
        <f t="shared" si="8"/>
        <v>1</v>
      </c>
      <c r="X182" s="3" t="b">
        <f t="shared" si="6"/>
        <v>1</v>
      </c>
      <c r="Y182" s="3" t="b">
        <f t="shared" si="9"/>
        <v>1</v>
      </c>
      <c r="Z182" s="12" t="str">
        <f t="shared" si="7"/>
        <v/>
      </c>
      <c r="AA182" s="12"/>
      <c r="AC182" s="4" t="b">
        <f t="shared" si="10"/>
        <v>1</v>
      </c>
      <c r="AD182" s="12" t="str">
        <f t="shared" si="11"/>
        <v/>
      </c>
      <c r="AE182" s="4"/>
      <c r="AF182" s="31" t="str">
        <f>IF(W59=TRUE,"g) Grunning","")</f>
        <v/>
      </c>
      <c r="AG182" s="4"/>
      <c r="AH182" s="4"/>
      <c r="AI182" s="4"/>
      <c r="AJ182" s="4"/>
      <c r="AK182" s="4"/>
      <c r="AL182" s="4"/>
      <c r="AM182" s="4"/>
      <c r="AN182" s="4"/>
      <c r="AO182" s="4"/>
      <c r="AP182" s="4"/>
      <c r="AQ182" s="4"/>
      <c r="AR182" s="4"/>
      <c r="AS182" s="4"/>
      <c r="AT182" s="4"/>
      <c r="AU182" s="4"/>
      <c r="AV182" s="4"/>
      <c r="AW182" s="4" t="b">
        <f>IF(BU195="",TRUE,FALSE)</f>
        <v>1</v>
      </c>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5"/>
      <c r="BV182" s="45"/>
      <c r="BW182" s="45"/>
      <c r="BX182" s="45"/>
      <c r="BY182" s="45"/>
      <c r="BZ182" s="45"/>
      <c r="CA182" s="45"/>
      <c r="CB182" s="45"/>
      <c r="CC182" s="45"/>
      <c r="CD182" s="45"/>
      <c r="CE182" s="45"/>
      <c r="CF182" s="45"/>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row>
    <row r="183" spans="1:137">
      <c r="A183" s="14"/>
      <c r="B183" s="44"/>
      <c r="C183" s="203"/>
      <c r="D183" s="203"/>
      <c r="E183" s="203"/>
      <c r="F183" s="203"/>
      <c r="G183" s="203"/>
      <c r="H183" s="203"/>
      <c r="I183" s="203"/>
      <c r="J183" s="203"/>
      <c r="K183" s="203"/>
      <c r="L183" s="203"/>
      <c r="M183" s="92"/>
      <c r="N183" s="92"/>
      <c r="O183" s="93"/>
      <c r="P183" s="44"/>
      <c r="Q183" s="44"/>
      <c r="R183" s="44"/>
      <c r="S183" s="45"/>
      <c r="T183" s="4"/>
      <c r="U183" s="4"/>
      <c r="V183" s="4" t="s">
        <v>30</v>
      </c>
      <c r="W183" s="3" t="b">
        <f t="shared" si="8"/>
        <v>1</v>
      </c>
      <c r="X183" s="3" t="b">
        <f t="shared" si="6"/>
        <v>1</v>
      </c>
      <c r="Y183" s="3" t="b">
        <f t="shared" si="9"/>
        <v>1</v>
      </c>
      <c r="Z183" s="12" t="str">
        <f t="shared" si="7"/>
        <v/>
      </c>
      <c r="AA183" s="12"/>
      <c r="AC183" s="4" t="b">
        <f t="shared" si="10"/>
        <v>1</v>
      </c>
      <c r="AD183" s="12" t="str">
        <f t="shared" si="11"/>
        <v/>
      </c>
      <c r="AE183" s="4"/>
      <c r="AF183" s="31" t="str">
        <f>IF(W59=TRUE,"h) Heftgrunning","")</f>
        <v/>
      </c>
      <c r="AG183" s="4"/>
      <c r="AH183" s="4"/>
      <c r="AI183" s="4"/>
      <c r="AJ183" s="4"/>
      <c r="AK183" s="4"/>
      <c r="AL183" s="4"/>
      <c r="AM183" s="4"/>
      <c r="AN183" s="4"/>
      <c r="AO183" s="4"/>
      <c r="AP183" s="4"/>
      <c r="AQ183" s="4"/>
      <c r="AR183" s="4"/>
      <c r="AS183" s="4"/>
      <c r="AT183" s="4"/>
      <c r="AU183" s="4"/>
      <c r="AV183" s="4"/>
      <c r="AW183" s="4" t="b">
        <f>OR(AX183,AY183)</f>
        <v>0</v>
      </c>
      <c r="AX183" s="4" t="b">
        <f>IF(R48=2,IF(R60=9,TRUE,FALSE))</f>
        <v>0</v>
      </c>
      <c r="AY183" s="4" t="b">
        <f>IF(R48=2,IF(R60=10,TRUE,FALSE))</f>
        <v>0</v>
      </c>
      <c r="AZ183" s="4"/>
      <c r="BA183" s="4"/>
      <c r="BB183" s="4"/>
      <c r="BC183" s="4"/>
      <c r="BD183" s="4"/>
      <c r="BE183" s="4"/>
      <c r="BF183" s="4"/>
      <c r="BG183" s="4"/>
      <c r="BH183" s="4"/>
      <c r="BI183" s="4"/>
      <c r="BJ183" s="4"/>
      <c r="BK183" s="4"/>
      <c r="BL183" s="4"/>
      <c r="BM183" s="4"/>
      <c r="BN183" s="4"/>
      <c r="BO183" s="4"/>
      <c r="BP183" s="4"/>
      <c r="BQ183" s="4"/>
      <c r="BR183" s="4"/>
      <c r="BS183" s="4"/>
      <c r="BT183" s="4"/>
      <c r="BU183" s="45"/>
      <c r="BV183" s="45"/>
      <c r="BW183" s="45"/>
      <c r="BX183" s="45"/>
      <c r="BY183" s="45"/>
      <c r="BZ183" s="45"/>
      <c r="CA183" s="45"/>
      <c r="CB183" s="45"/>
      <c r="CC183" s="45"/>
      <c r="CD183" s="45"/>
      <c r="CE183" s="45"/>
      <c r="CF183" s="45"/>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row>
    <row r="184" spans="1:137">
      <c r="A184" s="14"/>
      <c r="B184" s="44"/>
      <c r="C184" s="92"/>
      <c r="D184" s="92"/>
      <c r="E184" s="93"/>
      <c r="F184" s="93"/>
      <c r="G184" s="92"/>
      <c r="H184" s="92"/>
      <c r="I184" s="92"/>
      <c r="J184" s="92"/>
      <c r="K184" s="92"/>
      <c r="L184" s="92"/>
      <c r="M184" s="92"/>
      <c r="N184" s="92"/>
      <c r="O184" s="93"/>
      <c r="P184" s="44"/>
      <c r="Q184" s="44"/>
      <c r="R184" s="44"/>
      <c r="S184" s="45"/>
      <c r="T184" s="4"/>
      <c r="U184" s="4"/>
      <c r="V184" s="4" t="s">
        <v>32</v>
      </c>
      <c r="W184" s="3" t="b">
        <f t="shared" si="8"/>
        <v>1</v>
      </c>
      <c r="X184" s="3" t="b">
        <f t="shared" si="6"/>
        <v>1</v>
      </c>
      <c r="Y184" s="3" t="b">
        <f t="shared" si="9"/>
        <v>1</v>
      </c>
      <c r="Z184" s="12" t="str">
        <f t="shared" si="7"/>
        <v/>
      </c>
      <c r="AA184" s="12"/>
      <c r="AC184" s="4" t="b">
        <f t="shared" si="10"/>
        <v>1</v>
      </c>
      <c r="AD184" s="12" t="str">
        <f t="shared" si="11"/>
        <v/>
      </c>
      <c r="AE184" s="4"/>
      <c r="AF184" s="31" t="str">
        <f>IF(W59=TRUE,"i) Enkomponent spesialmaling","")</f>
        <v/>
      </c>
      <c r="AG184" s="4"/>
      <c r="AH184" s="4"/>
      <c r="AI184" s="4"/>
      <c r="AJ184" s="4"/>
      <c r="AK184" s="4"/>
      <c r="AL184" s="4"/>
      <c r="AM184" s="4"/>
      <c r="AN184" s="4"/>
      <c r="AO184" s="4"/>
      <c r="AP184" s="10" t="str">
        <f>CONCATENATE(E170,"
",E171,"
",E172)</f>
        <v xml:space="preserve">
</v>
      </c>
      <c r="AQ184" s="10" t="str">
        <f>CONCATENATE(AQ188,"
",AQ189,"
",AQ190)</f>
        <v xml:space="preserve">
</v>
      </c>
      <c r="AR184" s="10"/>
      <c r="AS184" s="100" t="str">
        <f>CONCATENATE(AU188," ",AW188,"
",AU189," ",AW189,"
",AU190," ",AW190)</f>
        <v xml:space="preserve"> 
 </v>
      </c>
      <c r="AT184" s="10" t="str">
        <f>CONCATENATE(AT188,"
",AT189,"
",AT190)</f>
        <v xml:space="preserve">
</v>
      </c>
      <c r="AU184" s="10" t="str">
        <f>CONCATENATE(L170,"
",L171,"
",L172)</f>
        <v xml:space="preserve">
</v>
      </c>
      <c r="AV184" s="10"/>
      <c r="AW184" s="4" t="b">
        <f>IF(BU203="Navn på produsent mangler!",TRUE,FALSE)</f>
        <v>1</v>
      </c>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5"/>
      <c r="BV184" s="45"/>
      <c r="BW184" s="45"/>
      <c r="BX184" s="45"/>
      <c r="BY184" s="45"/>
      <c r="BZ184" s="45"/>
      <c r="CA184" s="45"/>
      <c r="CB184" s="45"/>
      <c r="CC184" s="45"/>
      <c r="CD184" s="45"/>
      <c r="CE184" s="45"/>
      <c r="CF184" s="45"/>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row>
    <row r="185" spans="1:137">
      <c r="A185" s="14"/>
      <c r="B185" s="44"/>
      <c r="C185" s="92"/>
      <c r="D185" s="92"/>
      <c r="E185" s="93"/>
      <c r="F185" s="93"/>
      <c r="G185" s="92"/>
      <c r="H185" s="92"/>
      <c r="I185" s="92"/>
      <c r="J185" s="92"/>
      <c r="K185" s="92"/>
      <c r="L185" s="92"/>
      <c r="M185" s="92"/>
      <c r="N185" s="92"/>
      <c r="O185" s="93"/>
      <c r="P185" s="89"/>
      <c r="Q185" s="89"/>
      <c r="R185" s="89"/>
      <c r="S185" s="94"/>
      <c r="T185" s="4"/>
      <c r="U185" s="4"/>
      <c r="V185" s="4" t="s">
        <v>29</v>
      </c>
      <c r="W185" s="3" t="b">
        <f t="shared" si="8"/>
        <v>1</v>
      </c>
      <c r="X185" s="3" t="b">
        <f t="shared" si="6"/>
        <v>1</v>
      </c>
      <c r="Y185" s="3" t="b">
        <f t="shared" si="9"/>
        <v>1</v>
      </c>
      <c r="Z185" s="12" t="str">
        <f t="shared" si="7"/>
        <v/>
      </c>
      <c r="AA185" s="12"/>
      <c r="AC185" s="4" t="b">
        <f t="shared" si="10"/>
        <v>1</v>
      </c>
      <c r="AD185" s="12" t="str">
        <f t="shared" si="11"/>
        <v/>
      </c>
      <c r="AE185" s="4"/>
      <c r="AF185" s="31" t="str">
        <f>IF(W59=TRUE,"j) Tokomponent spesialmaling","")</f>
        <v/>
      </c>
      <c r="AG185" s="4"/>
      <c r="AH185" s="4"/>
      <c r="AI185" s="4"/>
      <c r="AJ185" s="4"/>
      <c r="AK185" s="4"/>
      <c r="AL185" s="4"/>
      <c r="AM185" s="4"/>
      <c r="AN185" s="4"/>
      <c r="AO185" s="4"/>
      <c r="AP185" s="10" t="str">
        <f>CONCATENATE(E175,"
",E176)</f>
        <v xml:space="preserve">
</v>
      </c>
      <c r="AQ185" s="10" t="str">
        <f>CONCATENATE(AQ191,"
",AQ192)</f>
        <v xml:space="preserve">
</v>
      </c>
      <c r="AR185" s="10"/>
      <c r="AS185" s="10" t="str">
        <f>CONCATENATE(AU191," ",AW191,"
",AU192," ",AW192)</f>
        <v xml:space="preserve"> 
 </v>
      </c>
      <c r="AT185" s="10" t="str">
        <f>CONCATENATE(AT191,"
",AT192)</f>
        <v xml:space="preserve">
</v>
      </c>
      <c r="AU185" s="10" t="str">
        <f>CONCATENATE(L175,"
",L176)</f>
        <v xml:space="preserve">
</v>
      </c>
      <c r="AV185" s="10"/>
      <c r="AW185" s="4" t="b">
        <f>OR(AW182:AW184)</f>
        <v>1</v>
      </c>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5"/>
      <c r="BV185" s="45"/>
      <c r="BW185" s="45"/>
      <c r="BX185" s="45"/>
      <c r="BY185" s="45"/>
      <c r="BZ185" s="45"/>
      <c r="CA185" s="45"/>
      <c r="CB185" s="45"/>
      <c r="CC185" s="45"/>
      <c r="CD185" s="45"/>
      <c r="CE185" s="45"/>
      <c r="CF185" s="45"/>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4"/>
      <c r="DH185" s="44"/>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row>
    <row r="186" spans="1:137">
      <c r="A186" s="14"/>
      <c r="B186" s="44"/>
      <c r="C186" s="92"/>
      <c r="D186" s="92"/>
      <c r="E186" s="93"/>
      <c r="F186" s="93"/>
      <c r="G186" s="92"/>
      <c r="H186" s="92"/>
      <c r="I186" s="92"/>
      <c r="J186" s="92"/>
      <c r="K186" s="92"/>
      <c r="L186" s="92"/>
      <c r="M186" s="92"/>
      <c r="N186" s="92"/>
      <c r="O186" s="93"/>
      <c r="P186" s="44"/>
      <c r="Q186" s="44"/>
      <c r="R186" s="44"/>
      <c r="S186" s="45"/>
      <c r="T186" s="4"/>
      <c r="U186" s="4"/>
      <c r="V186" s="4" t="s">
        <v>39</v>
      </c>
      <c r="W186" s="3" t="b">
        <f t="shared" si="8"/>
        <v>1</v>
      </c>
      <c r="X186" s="3" t="b">
        <f t="shared" si="6"/>
        <v>1</v>
      </c>
      <c r="Y186" s="3" t="b">
        <f t="shared" si="9"/>
        <v>1</v>
      </c>
      <c r="Z186" s="12" t="str">
        <f t="shared" si="7"/>
        <v/>
      </c>
      <c r="AA186" s="12"/>
      <c r="AC186" s="4" t="b">
        <f t="shared" si="10"/>
        <v>1</v>
      </c>
      <c r="AD186" s="12" t="str">
        <f t="shared" si="11"/>
        <v/>
      </c>
      <c r="AE186" s="4"/>
      <c r="AF186" s="31" t="str">
        <f>IF(W59=TRUE,"k) Flerfargede malinger","")</f>
        <v/>
      </c>
      <c r="AG186" s="4"/>
      <c r="AH186" s="4"/>
      <c r="AI186" s="4"/>
      <c r="AJ186" s="4"/>
      <c r="AK186" s="4"/>
      <c r="AL186" s="4"/>
      <c r="AM186" s="4"/>
      <c r="AN186" s="4"/>
      <c r="AO186" s="4"/>
      <c r="AP186" s="4"/>
      <c r="AQ186" s="4"/>
      <c r="AR186" s="4"/>
      <c r="AS186" s="10" t="str">
        <f>CONCATENATE(AU193," ",AW193,"
",AU194," ",AW194,"
",AU195," ",AW195)</f>
        <v xml:space="preserve"> 
 </v>
      </c>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5"/>
      <c r="BV186" s="45"/>
      <c r="BW186" s="45"/>
      <c r="BX186" s="45"/>
      <c r="BY186" s="45"/>
      <c r="BZ186" s="45"/>
      <c r="CA186" s="45"/>
      <c r="CB186" s="45"/>
      <c r="CC186" s="45"/>
      <c r="CD186" s="45"/>
      <c r="CE186" s="45"/>
      <c r="CF186" s="45"/>
      <c r="CG186" s="44"/>
      <c r="CH186" s="44"/>
      <c r="CI186" s="44"/>
      <c r="CJ186" s="44"/>
      <c r="CK186" s="44"/>
      <c r="CL186" s="44"/>
      <c r="CM186" s="44"/>
      <c r="CN186" s="44"/>
      <c r="CO186" s="44"/>
      <c r="CP186" s="44"/>
      <c r="CQ186" s="44"/>
      <c r="CR186" s="44"/>
      <c r="CS186" s="44"/>
      <c r="CT186" s="44"/>
      <c r="CU186" s="44"/>
      <c r="CV186" s="44"/>
      <c r="CW186" s="44"/>
      <c r="CX186" s="44"/>
      <c r="CY186" s="44"/>
      <c r="CZ186" s="44"/>
      <c r="DA186" s="44"/>
      <c r="DB186" s="44"/>
      <c r="DC186" s="44"/>
      <c r="DD186" s="44"/>
      <c r="DE186" s="44"/>
      <c r="DF186" s="44"/>
      <c r="DG186" s="44"/>
      <c r="DH186" s="44"/>
      <c r="DI186" s="44"/>
      <c r="DJ186" s="44"/>
      <c r="DK186" s="44"/>
      <c r="DL186" s="44"/>
      <c r="DM186" s="44"/>
      <c r="DN186" s="44"/>
      <c r="DO186" s="44"/>
      <c r="DP186" s="44"/>
      <c r="DQ186" s="44"/>
      <c r="DR186" s="44"/>
      <c r="DS186" s="44"/>
      <c r="DT186" s="44"/>
      <c r="DU186" s="44"/>
      <c r="DV186" s="44"/>
      <c r="DW186" s="44"/>
      <c r="DX186" s="44"/>
      <c r="DY186" s="44"/>
      <c r="DZ186" s="44"/>
      <c r="EA186" s="44"/>
      <c r="EB186" s="44"/>
      <c r="EC186" s="44"/>
      <c r="ED186" s="44"/>
      <c r="EE186" s="44"/>
      <c r="EF186" s="44"/>
      <c r="EG186" s="44"/>
    </row>
    <row r="187" spans="1:137">
      <c r="A187" s="14"/>
      <c r="B187" s="44"/>
      <c r="C187" s="92"/>
      <c r="D187" s="92"/>
      <c r="E187" s="93"/>
      <c r="F187" s="93"/>
      <c r="G187" s="92"/>
      <c r="H187" s="92"/>
      <c r="I187" s="92"/>
      <c r="J187" s="92"/>
      <c r="K187" s="92"/>
      <c r="L187" s="92"/>
      <c r="M187" s="92"/>
      <c r="N187" s="92"/>
      <c r="O187" s="93"/>
      <c r="P187" s="44"/>
      <c r="Q187" s="44"/>
      <c r="R187" s="44"/>
      <c r="S187" s="45"/>
      <c r="T187" s="4"/>
      <c r="U187" s="4"/>
      <c r="V187" s="4" t="s">
        <v>31</v>
      </c>
      <c r="W187" s="3" t="b">
        <f t="shared" si="8"/>
        <v>1</v>
      </c>
      <c r="X187" s="3" t="b">
        <f t="shared" si="6"/>
        <v>1</v>
      </c>
      <c r="Y187" s="3" t="b">
        <f t="shared" si="9"/>
        <v>1</v>
      </c>
      <c r="Z187" s="12" t="str">
        <f t="shared" si="7"/>
        <v/>
      </c>
      <c r="AA187" s="12"/>
      <c r="AC187" s="4" t="b">
        <f t="shared" si="10"/>
        <v>1</v>
      </c>
      <c r="AD187" s="12" t="str">
        <f t="shared" si="11"/>
        <v/>
      </c>
      <c r="AE187" s="4"/>
      <c r="AF187" s="31" t="str">
        <f>IF(W59=TRUE,"l) Effektmaling","")</f>
        <v/>
      </c>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5"/>
      <c r="BV187" s="45"/>
      <c r="BW187" s="45"/>
      <c r="BX187" s="45"/>
      <c r="BY187" s="45"/>
      <c r="BZ187" s="45"/>
      <c r="CA187" s="45"/>
      <c r="CB187" s="45"/>
      <c r="CC187" s="45"/>
      <c r="CD187" s="45"/>
      <c r="CE187" s="45"/>
      <c r="CF187" s="45"/>
      <c r="CG187" s="44"/>
      <c r="CH187" s="44"/>
      <c r="CI187" s="44"/>
      <c r="CJ187" s="44"/>
      <c r="CK187" s="44"/>
      <c r="CL187" s="44"/>
      <c r="CM187" s="44"/>
      <c r="CN187" s="44"/>
      <c r="CO187" s="44"/>
      <c r="CP187" s="44"/>
      <c r="CQ187" s="44"/>
      <c r="CR187" s="44"/>
      <c r="CS187" s="44"/>
      <c r="CT187" s="44"/>
      <c r="CU187" s="44"/>
      <c r="CV187" s="44"/>
      <c r="CW187" s="44"/>
      <c r="CX187" s="44"/>
      <c r="CY187" s="44"/>
      <c r="CZ187" s="44"/>
      <c r="DA187" s="44"/>
      <c r="DB187" s="44"/>
      <c r="DC187" s="44"/>
      <c r="DD187" s="44"/>
      <c r="DE187" s="44"/>
      <c r="DF187" s="44"/>
      <c r="DG187" s="44"/>
      <c r="DH187" s="44"/>
      <c r="DI187" s="44"/>
      <c r="DJ187" s="44"/>
      <c r="DK187" s="44"/>
      <c r="DL187" s="44"/>
      <c r="DM187" s="44"/>
      <c r="DN187" s="44"/>
      <c r="DO187" s="44"/>
      <c r="DP187" s="44"/>
      <c r="DQ187" s="44"/>
      <c r="DR187" s="44"/>
      <c r="DS187" s="44"/>
      <c r="DT187" s="44"/>
      <c r="DU187" s="44"/>
      <c r="DV187" s="44"/>
      <c r="DW187" s="44"/>
      <c r="DX187" s="44"/>
      <c r="DY187" s="44"/>
      <c r="DZ187" s="44"/>
      <c r="EA187" s="44"/>
      <c r="EB187" s="44"/>
      <c r="EC187" s="44"/>
      <c r="ED187" s="44"/>
      <c r="EE187" s="44"/>
      <c r="EF187" s="44"/>
      <c r="EG187" s="44"/>
    </row>
    <row r="188" spans="1:137">
      <c r="A188" s="14"/>
      <c r="B188" s="44"/>
      <c r="C188" s="92"/>
      <c r="D188" s="92"/>
      <c r="E188" s="93"/>
      <c r="F188" s="93"/>
      <c r="G188" s="92"/>
      <c r="H188" s="92"/>
      <c r="I188" s="92"/>
      <c r="J188" s="92"/>
      <c r="K188" s="92"/>
      <c r="L188" s="92"/>
      <c r="M188" s="92"/>
      <c r="N188" s="92"/>
      <c r="O188" s="93"/>
      <c r="P188" s="44"/>
      <c r="Q188" s="44"/>
      <c r="R188" s="44"/>
      <c r="S188" s="45"/>
      <c r="T188" s="4"/>
      <c r="U188" s="4"/>
      <c r="V188" s="4" t="s">
        <v>40</v>
      </c>
      <c r="W188" s="3" t="b">
        <f>IF(T48=TRUE,TRUE,AND(W178:W187))</f>
        <v>1</v>
      </c>
      <c r="Z188" s="4"/>
      <c r="AA188" s="4"/>
      <c r="AB188" s="4"/>
      <c r="AC188" s="4"/>
      <c r="AD188" s="4"/>
      <c r="AE188" s="4"/>
      <c r="AF188" s="4"/>
      <c r="AG188" s="4"/>
      <c r="AH188" s="4"/>
      <c r="AI188" s="4"/>
      <c r="AJ188" s="4"/>
      <c r="AK188" s="4"/>
      <c r="AL188" s="4"/>
      <c r="AM188" s="4"/>
      <c r="AN188" s="4"/>
      <c r="AO188" s="4"/>
      <c r="AP188" s="4"/>
      <c r="AQ188" s="28" t="str">
        <f>IF(C170="","",C170&amp;" ("&amp;AD178&amp;")")</f>
        <v/>
      </c>
      <c r="AR188" s="28"/>
      <c r="AS188" s="4"/>
      <c r="AT188" s="28" t="str">
        <f>IF(Y178=TRUE,"",IF(W178=TRUE,Z178,Z178))</f>
        <v/>
      </c>
      <c r="AU188" s="4" t="str">
        <f>IF($AC$178=FALSE,"",IF(J170="","",J170))</f>
        <v/>
      </c>
      <c r="AV188" s="4"/>
      <c r="AW188" s="4" t="str">
        <f>IF(AC178=FALSE,"",IF(K170="","",K170))</f>
        <v/>
      </c>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5"/>
      <c r="BV188" s="45"/>
      <c r="BW188" s="45"/>
      <c r="BX188" s="45"/>
      <c r="BY188" s="45"/>
      <c r="BZ188" s="45"/>
      <c r="CA188" s="45"/>
      <c r="CB188" s="45"/>
      <c r="CC188" s="45"/>
      <c r="CD188" s="45"/>
      <c r="CE188" s="45"/>
      <c r="CF188" s="45"/>
      <c r="CG188" s="44"/>
      <c r="CH188" s="44"/>
      <c r="CI188" s="44"/>
      <c r="CJ188" s="44"/>
      <c r="CK188" s="44"/>
      <c r="CL188" s="44"/>
      <c r="CM188" s="44"/>
      <c r="CN188" s="44"/>
      <c r="CO188" s="44"/>
      <c r="CP188" s="44"/>
      <c r="CQ188" s="44"/>
      <c r="CR188" s="44"/>
      <c r="CS188" s="44"/>
      <c r="CT188" s="44"/>
      <c r="CU188" s="44"/>
      <c r="CV188" s="44"/>
      <c r="CW188" s="44"/>
      <c r="CX188" s="44"/>
      <c r="CY188" s="44"/>
      <c r="CZ188" s="44"/>
      <c r="DA188" s="44"/>
      <c r="DB188" s="44"/>
      <c r="DC188" s="44"/>
      <c r="DD188" s="44"/>
      <c r="DE188" s="44"/>
      <c r="DF188" s="44"/>
      <c r="DG188" s="44"/>
      <c r="DH188" s="44"/>
      <c r="DI188" s="44"/>
      <c r="DJ188" s="44"/>
      <c r="DK188" s="44"/>
      <c r="DL188" s="44"/>
      <c r="DM188" s="44"/>
      <c r="DN188" s="44"/>
      <c r="DO188" s="44"/>
      <c r="DP188" s="44"/>
      <c r="DQ188" s="44"/>
      <c r="DR188" s="44"/>
      <c r="DS188" s="44"/>
      <c r="DT188" s="44"/>
      <c r="DU188" s="44"/>
      <c r="DV188" s="44"/>
      <c r="DW188" s="44"/>
      <c r="DX188" s="44"/>
      <c r="DY188" s="44"/>
      <c r="DZ188" s="44"/>
      <c r="EA188" s="44"/>
      <c r="EB188" s="44"/>
      <c r="EC188" s="44"/>
      <c r="ED188" s="44"/>
      <c r="EE188" s="44"/>
      <c r="EF188" s="44"/>
      <c r="EG188" s="44"/>
    </row>
    <row r="189" spans="1:137">
      <c r="A189" s="14"/>
      <c r="B189" s="44"/>
      <c r="C189" s="92"/>
      <c r="D189" s="92"/>
      <c r="E189" s="93"/>
      <c r="F189" s="93"/>
      <c r="G189" s="92"/>
      <c r="H189" s="92"/>
      <c r="I189" s="92"/>
      <c r="J189" s="92"/>
      <c r="K189" s="92"/>
      <c r="L189" s="92"/>
      <c r="M189" s="92"/>
      <c r="N189" s="92"/>
      <c r="O189" s="93"/>
      <c r="P189" s="44"/>
      <c r="Q189" s="44"/>
      <c r="R189" s="44"/>
      <c r="S189" s="45"/>
      <c r="T189" s="4"/>
      <c r="U189" s="4"/>
      <c r="V189" s="4" t="s">
        <v>41</v>
      </c>
      <c r="W189" s="4" t="s">
        <v>65</v>
      </c>
      <c r="X189" s="4"/>
      <c r="Y189" s="4"/>
      <c r="Z189" s="4"/>
      <c r="AA189" s="4"/>
      <c r="AB189" s="4"/>
      <c r="AC189" s="4"/>
      <c r="AD189" s="4"/>
      <c r="AE189" s="4"/>
      <c r="AF189" s="4"/>
      <c r="AG189" s="4"/>
      <c r="AH189" s="4"/>
      <c r="AI189" s="4"/>
      <c r="AJ189" s="4"/>
      <c r="AK189" s="4"/>
      <c r="AL189" s="4"/>
      <c r="AM189" s="4"/>
      <c r="AN189" s="4"/>
      <c r="AO189" s="4"/>
      <c r="AP189" s="4"/>
      <c r="AQ189" s="28" t="str">
        <f>IF(C171="","",C171&amp;" ("&amp;AD179&amp;")")</f>
        <v/>
      </c>
      <c r="AR189" s="28"/>
      <c r="AS189" s="4"/>
      <c r="AT189" s="28" t="str">
        <f>IF(Y179=TRUE,"",IF(W179=TRUE,Z179,Z179))</f>
        <v/>
      </c>
      <c r="AU189" s="4" t="str">
        <f t="shared" ref="AU189:AU197" si="12">IF($AC$178=FALSE,"",IF(J171="","",J171))</f>
        <v/>
      </c>
      <c r="AV189" s="4"/>
      <c r="AW189" s="4" t="str">
        <f t="shared" ref="AW189:AW197" si="13">IF(AC179=FALSE,"",IF(K171="","",K171))</f>
        <v/>
      </c>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5"/>
      <c r="BV189" s="45"/>
      <c r="BW189" s="45"/>
      <c r="BX189" s="45"/>
      <c r="BY189" s="45"/>
      <c r="BZ189" s="45"/>
      <c r="CA189" s="45"/>
      <c r="CB189" s="45"/>
      <c r="CC189" s="45"/>
      <c r="CD189" s="45"/>
      <c r="CE189" s="45"/>
      <c r="CF189" s="45"/>
      <c r="CG189" s="44"/>
      <c r="CH189" s="44"/>
      <c r="CI189" s="44"/>
      <c r="CJ189" s="44"/>
      <c r="CK189" s="44"/>
      <c r="CL189" s="44"/>
      <c r="CM189" s="44"/>
      <c r="CN189" s="44"/>
      <c r="CO189" s="44"/>
      <c r="CP189" s="44"/>
      <c r="CQ189" s="44"/>
      <c r="CR189" s="44"/>
      <c r="CS189" s="44"/>
      <c r="CT189" s="44"/>
      <c r="CU189" s="44"/>
      <c r="CV189" s="44"/>
      <c r="CW189" s="44"/>
      <c r="CX189" s="44"/>
      <c r="CY189" s="44"/>
      <c r="CZ189" s="44"/>
      <c r="DA189" s="44"/>
      <c r="DB189" s="44"/>
      <c r="DC189" s="44"/>
      <c r="DD189" s="44"/>
      <c r="DE189" s="44"/>
      <c r="DF189" s="44"/>
      <c r="DG189" s="44"/>
      <c r="DH189" s="44"/>
      <c r="DI189" s="44"/>
      <c r="DJ189" s="44"/>
      <c r="DK189" s="44"/>
      <c r="DL189" s="44"/>
      <c r="DM189" s="44"/>
      <c r="DN189" s="44"/>
      <c r="DO189" s="44"/>
      <c r="DP189" s="44"/>
      <c r="DQ189" s="44"/>
      <c r="DR189" s="44"/>
      <c r="DS189" s="44"/>
      <c r="DT189" s="44"/>
      <c r="DU189" s="44"/>
      <c r="DV189" s="44"/>
      <c r="DW189" s="44"/>
      <c r="DX189" s="44"/>
      <c r="DY189" s="44"/>
      <c r="DZ189" s="44"/>
      <c r="EA189" s="44"/>
      <c r="EB189" s="44"/>
      <c r="EC189" s="44"/>
      <c r="ED189" s="44"/>
      <c r="EE189" s="44"/>
      <c r="EF189" s="44"/>
      <c r="EG189" s="44"/>
    </row>
    <row r="190" spans="1:137">
      <c r="A190" s="14"/>
      <c r="B190" s="44"/>
      <c r="C190" s="92"/>
      <c r="D190" s="92"/>
      <c r="E190" s="93"/>
      <c r="F190" s="93"/>
      <c r="G190" s="92"/>
      <c r="H190" s="92"/>
      <c r="I190" s="92"/>
      <c r="J190" s="92"/>
      <c r="K190" s="92"/>
      <c r="L190" s="92"/>
      <c r="M190" s="92"/>
      <c r="N190" s="92"/>
      <c r="O190" s="93"/>
      <c r="P190" s="44"/>
      <c r="Q190" s="44"/>
      <c r="R190" s="44"/>
      <c r="S190" s="45"/>
      <c r="T190" s="4"/>
      <c r="U190" s="4"/>
      <c r="V190" s="4"/>
      <c r="W190" s="4" t="s">
        <v>64</v>
      </c>
      <c r="X190" s="4"/>
      <c r="Y190" s="4"/>
      <c r="Z190" s="4"/>
      <c r="AA190" s="4"/>
      <c r="AB190" s="4"/>
      <c r="AC190" s="4"/>
      <c r="AD190" s="4"/>
      <c r="AE190" s="4"/>
      <c r="AF190" s="4"/>
      <c r="AG190" s="4"/>
      <c r="AH190" s="4"/>
      <c r="AI190" s="4"/>
      <c r="AJ190" s="4"/>
      <c r="AK190" s="4"/>
      <c r="AL190" s="4"/>
      <c r="AM190" s="4"/>
      <c r="AN190" s="4"/>
      <c r="AO190" s="4"/>
      <c r="AP190" s="4"/>
      <c r="AQ190" s="28" t="str">
        <f>IF(C172="","",C172&amp;" ("&amp;AD180&amp;")")</f>
        <v/>
      </c>
      <c r="AR190" s="28"/>
      <c r="AS190" s="4"/>
      <c r="AT190" s="28" t="str">
        <f>IF(Y180=TRUE,"",IF(W180=TRUE,Z180,Z180))</f>
        <v/>
      </c>
      <c r="AU190" s="4" t="str">
        <f t="shared" si="12"/>
        <v/>
      </c>
      <c r="AV190" s="4"/>
      <c r="AW190" s="4" t="str">
        <f t="shared" si="13"/>
        <v/>
      </c>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5"/>
      <c r="BV190" s="45"/>
      <c r="BW190" s="45"/>
      <c r="BX190" s="45"/>
      <c r="BY190" s="45"/>
      <c r="BZ190" s="45"/>
      <c r="CA190" s="45"/>
      <c r="CB190" s="45"/>
      <c r="CC190" s="45"/>
      <c r="CD190" s="45"/>
      <c r="CE190" s="45"/>
      <c r="CF190" s="45"/>
      <c r="CG190" s="44"/>
      <c r="CH190" s="44"/>
      <c r="CI190" s="44"/>
      <c r="CJ190" s="44"/>
      <c r="CK190" s="44"/>
      <c r="CL190" s="44"/>
      <c r="CM190" s="44"/>
      <c r="CN190" s="44"/>
      <c r="CO190" s="44"/>
      <c r="CP190" s="44"/>
      <c r="CQ190" s="44"/>
      <c r="CR190" s="44"/>
      <c r="CS190" s="44"/>
      <c r="CT190" s="44"/>
      <c r="CU190" s="44"/>
      <c r="CV190" s="44"/>
      <c r="CW190" s="44"/>
      <c r="CX190" s="44"/>
      <c r="CY190" s="44"/>
      <c r="CZ190" s="44"/>
      <c r="DA190" s="44"/>
      <c r="DB190" s="44"/>
      <c r="DC190" s="44"/>
      <c r="DD190" s="44"/>
      <c r="DE190" s="44"/>
      <c r="DF190" s="44"/>
      <c r="DG190" s="44"/>
      <c r="DH190" s="44"/>
      <c r="DI190" s="44"/>
      <c r="DJ190" s="44"/>
      <c r="DK190" s="44"/>
      <c r="DL190" s="44"/>
      <c r="DM190" s="44"/>
      <c r="DN190" s="44"/>
      <c r="DO190" s="44"/>
      <c r="DP190" s="44"/>
      <c r="DQ190" s="44"/>
      <c r="DR190" s="44"/>
      <c r="DS190" s="44"/>
      <c r="DT190" s="44"/>
      <c r="DU190" s="44"/>
      <c r="DV190" s="44"/>
      <c r="DW190" s="44"/>
      <c r="DX190" s="44"/>
      <c r="DY190" s="44"/>
      <c r="DZ190" s="44"/>
      <c r="EA190" s="44"/>
      <c r="EB190" s="44"/>
      <c r="EC190" s="44"/>
      <c r="ED190" s="44"/>
      <c r="EE190" s="44"/>
      <c r="EF190" s="44"/>
      <c r="EG190" s="44"/>
    </row>
    <row r="191" spans="1:137">
      <c r="A191" s="14"/>
      <c r="B191" s="44"/>
      <c r="C191" s="96"/>
      <c r="D191" s="96"/>
      <c r="E191" s="89"/>
      <c r="F191" s="89"/>
      <c r="G191" s="96"/>
      <c r="H191" s="96"/>
      <c r="I191" s="96"/>
      <c r="J191" s="96"/>
      <c r="K191" s="96"/>
      <c r="L191" s="96"/>
      <c r="M191" s="96"/>
      <c r="N191" s="96"/>
      <c r="O191" s="89"/>
      <c r="P191" s="44"/>
      <c r="Q191" s="44"/>
      <c r="R191" s="44"/>
      <c r="S191" s="45"/>
      <c r="T191" s="4"/>
      <c r="U191" s="4"/>
      <c r="V191" s="4"/>
      <c r="W191" s="4" t="str">
        <f>CONCATENATE(W189,W190)</f>
        <v>* Interiørmaling og lakk har blitt testet mot EN ISO 11890-2:2006 Malinger og lakk. Bestemmelse av VOC-innhold (flyktige organiske forbindelser). Gasskromatografisk metode og tilfredsstiller de maksimale grenseverdiene for VOC-innhold i fase II som fastsatt i tillegg II til direktiv 2004/42/EC om interiørmaling.  All interiørmaling og lakk er dessuten også motstandsdyktig mot sopp og alger (før påføring).</v>
      </c>
      <c r="X191" s="4"/>
      <c r="Y191" s="4"/>
      <c r="Z191" s="4"/>
      <c r="AA191" s="4"/>
      <c r="AB191" s="4"/>
      <c r="AC191" s="4"/>
      <c r="AD191" s="4"/>
      <c r="AE191" s="4"/>
      <c r="AF191" s="4"/>
      <c r="AG191" s="4"/>
      <c r="AH191" s="4"/>
      <c r="AI191" s="4"/>
      <c r="AJ191" s="4"/>
      <c r="AK191" s="4"/>
      <c r="AL191" s="4"/>
      <c r="AM191" s="4"/>
      <c r="AN191" s="4"/>
      <c r="AO191" s="4"/>
      <c r="AP191" s="4"/>
      <c r="AQ191" s="28" t="str">
        <f>IF(C175="","",C175&amp;" ("&amp;AD183&amp;")")</f>
        <v/>
      </c>
      <c r="AR191" s="28"/>
      <c r="AS191" s="4"/>
      <c r="AT191" s="28" t="str">
        <f>IF(Y183=TRUE,"",IF(W183=TRUE,Z183))</f>
        <v/>
      </c>
      <c r="AU191" s="4" t="str">
        <f t="shared" si="12"/>
        <v/>
      </c>
      <c r="AV191" s="4"/>
      <c r="AW191" s="4" t="str">
        <f t="shared" si="13"/>
        <v/>
      </c>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5"/>
      <c r="BV191" s="45"/>
      <c r="BW191" s="45"/>
      <c r="BX191" s="45"/>
      <c r="BY191" s="45"/>
      <c r="BZ191" s="45"/>
      <c r="CA191" s="45"/>
      <c r="CB191" s="45"/>
      <c r="CC191" s="45"/>
      <c r="CD191" s="45"/>
      <c r="CE191" s="45"/>
      <c r="CF191" s="45"/>
      <c r="CG191" s="44"/>
      <c r="CH191" s="44"/>
      <c r="CI191" s="44"/>
      <c r="CJ191" s="44"/>
      <c r="CK191" s="44"/>
      <c r="CL191" s="44"/>
      <c r="CM191" s="44"/>
      <c r="CN191" s="44"/>
      <c r="CO191" s="44"/>
      <c r="CP191" s="44"/>
      <c r="CQ191" s="44"/>
      <c r="CR191" s="44"/>
      <c r="CS191" s="44"/>
      <c r="CT191" s="44"/>
      <c r="CU191" s="44"/>
      <c r="CV191" s="44"/>
      <c r="CW191" s="44"/>
      <c r="CX191" s="44"/>
      <c r="CY191" s="44"/>
      <c r="CZ191" s="44"/>
      <c r="DA191" s="44"/>
      <c r="DB191" s="44"/>
      <c r="DC191" s="44"/>
      <c r="DD191" s="44"/>
      <c r="DE191" s="44"/>
      <c r="DF191" s="44"/>
      <c r="DG191" s="44"/>
      <c r="DH191" s="44"/>
      <c r="DI191" s="44"/>
      <c r="DJ191" s="44"/>
      <c r="DK191" s="44"/>
      <c r="DL191" s="44"/>
      <c r="DM191" s="44"/>
      <c r="DN191" s="44"/>
      <c r="DO191" s="44"/>
      <c r="DP191" s="44"/>
      <c r="DQ191" s="44"/>
      <c r="DR191" s="44"/>
      <c r="DS191" s="44"/>
      <c r="DT191" s="44"/>
      <c r="DU191" s="44"/>
      <c r="DV191" s="44"/>
      <c r="DW191" s="44"/>
      <c r="DX191" s="44"/>
      <c r="DY191" s="44"/>
      <c r="DZ191" s="44"/>
      <c r="EA191" s="44"/>
      <c r="EB191" s="44"/>
      <c r="EC191" s="44"/>
      <c r="ED191" s="44"/>
      <c r="EE191" s="44"/>
      <c r="EF191" s="44"/>
      <c r="EG191" s="44"/>
    </row>
    <row r="192" spans="1:137">
      <c r="A192" s="14"/>
      <c r="B192" s="44"/>
      <c r="C192" s="96"/>
      <c r="D192" s="96"/>
      <c r="E192" s="89"/>
      <c r="F192" s="89"/>
      <c r="G192" s="96"/>
      <c r="H192" s="96"/>
      <c r="I192" s="96"/>
      <c r="J192" s="96"/>
      <c r="K192" s="96"/>
      <c r="L192" s="96"/>
      <c r="M192" s="96"/>
      <c r="N192" s="96"/>
      <c r="O192" s="89"/>
      <c r="P192" s="44"/>
      <c r="Q192" s="44"/>
      <c r="R192" s="44"/>
      <c r="S192" s="45"/>
      <c r="T192" s="4"/>
      <c r="U192" s="4"/>
      <c r="V192" s="4"/>
      <c r="W192" s="4"/>
      <c r="X192" s="4"/>
      <c r="Y192" s="4"/>
      <c r="Z192" s="4"/>
      <c r="AA192" s="4"/>
      <c r="AB192" s="4"/>
      <c r="AC192" s="4"/>
      <c r="AD192" s="4"/>
      <c r="AE192" s="4"/>
      <c r="AF192" s="32"/>
      <c r="AG192" s="33"/>
      <c r="AH192" s="4"/>
      <c r="AI192" s="4"/>
      <c r="AJ192" s="4"/>
      <c r="AK192" s="4"/>
      <c r="AL192" s="4"/>
      <c r="AM192" s="4"/>
      <c r="AN192" s="4"/>
      <c r="AO192" s="4"/>
      <c r="AP192" s="4"/>
      <c r="AQ192" s="28" t="str">
        <f>IF(C176="","",C176&amp;" ("&amp;AD184&amp;")")</f>
        <v/>
      </c>
      <c r="AR192" s="28"/>
      <c r="AS192" s="4"/>
      <c r="AT192" s="28" t="str">
        <f>IF(Y184=TRUE,"",IF(W184=TRUE,Z184,Z184))</f>
        <v/>
      </c>
      <c r="AU192" s="4" t="str">
        <f t="shared" si="12"/>
        <v/>
      </c>
      <c r="AV192" s="4"/>
      <c r="AW192" s="4" t="str">
        <f t="shared" si="13"/>
        <v/>
      </c>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5"/>
      <c r="BV192" s="45"/>
      <c r="BW192" s="45"/>
      <c r="BX192" s="45"/>
      <c r="BY192" s="45"/>
      <c r="BZ192" s="45"/>
      <c r="CA192" s="45"/>
      <c r="CB192" s="45"/>
      <c r="CC192" s="45"/>
      <c r="CD192" s="45"/>
      <c r="CE192" s="45"/>
      <c r="CF192" s="45"/>
      <c r="CG192" s="44"/>
      <c r="CH192" s="44"/>
      <c r="CI192" s="44"/>
      <c r="CJ192" s="44"/>
      <c r="CK192" s="44"/>
      <c r="CL192" s="44"/>
      <c r="CM192" s="44"/>
      <c r="CN192" s="44"/>
      <c r="CO192" s="44"/>
      <c r="CP192" s="44"/>
      <c r="CQ192" s="44"/>
      <c r="CR192" s="44"/>
      <c r="CS192" s="44"/>
      <c r="CT192" s="44"/>
      <c r="CU192" s="44"/>
      <c r="CV192" s="44"/>
      <c r="CW192" s="44"/>
      <c r="CX192" s="44"/>
      <c r="CY192" s="44"/>
      <c r="CZ192" s="44"/>
      <c r="DA192" s="44"/>
      <c r="DB192" s="44"/>
      <c r="DC192" s="44"/>
      <c r="DD192" s="44"/>
      <c r="DE192" s="44"/>
      <c r="DF192" s="44"/>
      <c r="DG192" s="44"/>
      <c r="DH192" s="44"/>
      <c r="DI192" s="44"/>
      <c r="DJ192" s="44"/>
      <c r="DK192" s="44"/>
      <c r="DL192" s="44"/>
      <c r="DM192" s="44"/>
      <c r="DN192" s="44"/>
      <c r="DO192" s="44"/>
      <c r="DP192" s="44"/>
      <c r="DQ192" s="44"/>
      <c r="DR192" s="44"/>
      <c r="DS192" s="44"/>
      <c r="DT192" s="44"/>
      <c r="DU192" s="44"/>
      <c r="DV192" s="44"/>
      <c r="DW192" s="44"/>
      <c r="DX192" s="44"/>
      <c r="DY192" s="44"/>
      <c r="DZ192" s="44"/>
      <c r="EA192" s="44"/>
      <c r="EB192" s="44"/>
      <c r="EC192" s="44"/>
      <c r="ED192" s="44"/>
      <c r="EE192" s="44"/>
      <c r="EF192" s="44"/>
      <c r="EG192" s="44"/>
    </row>
    <row r="193" spans="1:137">
      <c r="A193" s="14"/>
      <c r="B193" s="44"/>
      <c r="C193" s="89"/>
      <c r="D193" s="89"/>
      <c r="E193" s="89"/>
      <c r="F193" s="89"/>
      <c r="G193" s="89"/>
      <c r="H193" s="89"/>
      <c r="I193" s="89"/>
      <c r="J193" s="89"/>
      <c r="K193" s="89"/>
      <c r="L193" s="89"/>
      <c r="M193" s="89"/>
      <c r="N193" s="89"/>
      <c r="O193" s="89"/>
      <c r="P193" s="44"/>
      <c r="Q193" s="44"/>
      <c r="R193" s="44"/>
      <c r="S193" s="44"/>
      <c r="AF193" s="32"/>
      <c r="AG193" s="33"/>
      <c r="AU193" s="4" t="str">
        <f t="shared" si="12"/>
        <v/>
      </c>
      <c r="AW193" s="4" t="str">
        <f t="shared" si="13"/>
        <v/>
      </c>
      <c r="BU193" s="45"/>
      <c r="BV193" s="45"/>
      <c r="BW193" s="45"/>
      <c r="BX193" s="45"/>
      <c r="BY193" s="45"/>
      <c r="BZ193" s="45"/>
      <c r="CA193" s="45"/>
      <c r="CB193" s="45"/>
      <c r="CC193" s="45"/>
      <c r="CD193" s="45"/>
      <c r="CE193" s="44"/>
      <c r="CF193" s="44"/>
      <c r="CG193" s="44"/>
      <c r="CH193" s="44"/>
      <c r="CI193" s="44"/>
      <c r="CJ193" s="44"/>
      <c r="CK193" s="44"/>
      <c r="CL193" s="44"/>
      <c r="CM193" s="44"/>
      <c r="CN193" s="44"/>
      <c r="CO193" s="44"/>
      <c r="CP193" s="44"/>
      <c r="CQ193" s="44"/>
      <c r="CR193" s="44"/>
      <c r="CS193" s="44"/>
      <c r="CT193" s="44"/>
      <c r="CU193" s="44"/>
      <c r="CV193" s="44"/>
      <c r="CW193" s="44"/>
      <c r="CX193" s="44"/>
      <c r="CY193" s="44"/>
      <c r="CZ193" s="44"/>
      <c r="DA193" s="44"/>
      <c r="DB193" s="44"/>
      <c r="DC193" s="44"/>
      <c r="DD193" s="44"/>
      <c r="DE193" s="44"/>
      <c r="DF193" s="44"/>
      <c r="DG193" s="44"/>
      <c r="DH193" s="44"/>
      <c r="DI193" s="44"/>
      <c r="DJ193" s="44"/>
      <c r="DK193" s="44"/>
      <c r="DL193" s="44"/>
      <c r="DM193" s="44"/>
      <c r="DN193" s="44"/>
      <c r="DO193" s="44"/>
      <c r="DP193" s="44"/>
      <c r="DQ193" s="44"/>
      <c r="DR193" s="44"/>
      <c r="DS193" s="44"/>
      <c r="DT193" s="44"/>
      <c r="DU193" s="44"/>
      <c r="DV193" s="44"/>
      <c r="DW193" s="44"/>
      <c r="DX193" s="44"/>
      <c r="DY193" s="44"/>
      <c r="DZ193" s="44"/>
      <c r="EA193" s="44"/>
      <c r="EB193" s="44"/>
      <c r="EC193" s="44"/>
      <c r="ED193" s="44"/>
      <c r="EE193" s="44"/>
      <c r="EF193" s="44"/>
      <c r="EG193" s="44"/>
    </row>
    <row r="194" spans="1:137" ht="18.75">
      <c r="A194" s="14"/>
      <c r="B194" s="44"/>
      <c r="C194" s="44"/>
      <c r="D194" s="44"/>
      <c r="E194" s="44"/>
      <c r="F194" s="44"/>
      <c r="G194" s="44"/>
      <c r="H194" s="44"/>
      <c r="I194" s="44"/>
      <c r="J194" s="44"/>
      <c r="K194" s="44"/>
      <c r="L194" s="44"/>
      <c r="M194" s="44"/>
      <c r="N194" s="44"/>
      <c r="O194" s="44"/>
      <c r="P194" s="44"/>
      <c r="Q194" s="44"/>
      <c r="R194" s="44"/>
      <c r="S194" s="97"/>
      <c r="AF194" s="32"/>
      <c r="AG194" s="33"/>
      <c r="AU194" s="4" t="str">
        <f t="shared" si="12"/>
        <v/>
      </c>
      <c r="AW194" s="4" t="str">
        <f t="shared" si="13"/>
        <v/>
      </c>
      <c r="BK194" s="3" t="str">
        <f>IF(V5=2,"Kriteriene er kvalitetssikret av NGBC, og samsvarer med teknisk manual versjon 1.0 2012",IF(V5=3,"Kriteriene er kvalitetssikret av NGBC, og samsvarer med teknisk manual versjon 1.0. 2016",""))</f>
        <v/>
      </c>
      <c r="BU194" s="134" t="str">
        <f>C2</f>
        <v>Egendeklarasjon BREEAM-NOR</v>
      </c>
      <c r="BV194" s="16"/>
      <c r="BW194" s="16"/>
      <c r="BX194" s="16"/>
      <c r="BY194" s="16"/>
      <c r="BZ194" s="16"/>
      <c r="CA194" s="16"/>
      <c r="CB194" s="16"/>
      <c r="CC194" s="16"/>
      <c r="CD194" s="16"/>
      <c r="CE194" s="45"/>
      <c r="CF194" s="44"/>
      <c r="CG194" s="44"/>
      <c r="CH194" s="44"/>
      <c r="CI194" s="44"/>
      <c r="CJ194" s="44"/>
      <c r="CK194" s="44"/>
      <c r="CL194" s="44"/>
      <c r="CM194" s="44"/>
      <c r="CN194" s="44"/>
      <c r="CO194" s="44"/>
      <c r="CP194" s="44"/>
      <c r="CQ194" s="44"/>
      <c r="CR194" s="44"/>
      <c r="CS194" s="44"/>
      <c r="CT194" s="44"/>
      <c r="CU194" s="44"/>
      <c r="CV194" s="44"/>
      <c r="CW194" s="44"/>
      <c r="CX194" s="44"/>
      <c r="CY194" s="44"/>
      <c r="CZ194" s="44"/>
      <c r="DA194" s="44"/>
      <c r="DB194" s="44"/>
      <c r="DC194" s="44"/>
      <c r="DD194" s="44"/>
      <c r="DE194" s="44"/>
      <c r="DF194" s="44"/>
      <c r="DG194" s="44"/>
      <c r="DH194" s="44"/>
      <c r="DI194" s="44"/>
      <c r="DJ194" s="44"/>
      <c r="DK194" s="44"/>
      <c r="DL194" s="44"/>
      <c r="DM194" s="44"/>
      <c r="DN194" s="44"/>
      <c r="DO194" s="44"/>
      <c r="DP194" s="44"/>
      <c r="DQ194" s="44"/>
      <c r="DR194" s="44"/>
      <c r="DS194" s="44"/>
      <c r="DT194" s="44"/>
      <c r="DU194" s="44"/>
      <c r="DV194" s="44"/>
      <c r="DW194" s="44"/>
      <c r="DX194" s="44"/>
      <c r="DY194" s="44"/>
      <c r="DZ194" s="44"/>
      <c r="EA194" s="44"/>
      <c r="EB194" s="44"/>
      <c r="EC194" s="44"/>
      <c r="ED194" s="44"/>
      <c r="EE194" s="44"/>
      <c r="EF194" s="44"/>
      <c r="EG194" s="44"/>
    </row>
    <row r="195" spans="1:137" ht="15" customHeight="1">
      <c r="A195" s="14"/>
      <c r="B195" s="44"/>
      <c r="C195" s="44"/>
      <c r="D195" s="44"/>
      <c r="E195" s="44"/>
      <c r="F195" s="44"/>
      <c r="G195" s="44"/>
      <c r="H195" s="44"/>
      <c r="I195" s="44"/>
      <c r="J195" s="44"/>
      <c r="K195" s="44"/>
      <c r="L195" s="44"/>
      <c r="M195" s="44"/>
      <c r="N195" s="44"/>
      <c r="O195" s="202" t="s">
        <v>47</v>
      </c>
      <c r="P195" s="44"/>
      <c r="Q195" s="44"/>
      <c r="R195" s="44"/>
      <c r="S195" s="97"/>
      <c r="AF195" s="32"/>
      <c r="AG195" s="33"/>
      <c r="AU195" s="4" t="str">
        <f t="shared" si="12"/>
        <v/>
      </c>
      <c r="AW195" s="4" t="str">
        <f t="shared" si="13"/>
        <v/>
      </c>
      <c r="BU195" s="192" t="str">
        <f>IF(AND(V5=2,R48=1,R52=1),"Egendeklarasjon på at produkter tilfredsstiller krav i BREEAM-NOR i henhold til teknisk manual 2012",IF(AND(V5=3,R48=1,R52=3),"Egendeklarasjon på at produkter tilfredsstiller krav i BREEAM-NOR i henhold til teknisk manual 2016",IF(AND(V5=2,R48=2,R52=1),"Egendeklarasjon på at produkter tilfredsstiller A-20 krav i BREEAM-NOR i henhold til teknisk manual 2012",IF(AND(V5=2,R48=2,R52=2),"Egendeklarasjon på at produkter tilfredsstiller A20-krav i BREEAM-NOR for prosjekter registrert mellom 14.03.2012 til 30.03.2013",IF(AND(V5=2,R48=3,R52=2),"Egendeklarasjon på at produkter tilfredsstiller HEA 9-krav i BREEAM-NOR for prosjekter registrert mellom 14.03.2012 til 31.08.2016",IF(AND(V5=3,R48,2,R52=1),"",IF(AND(V5=2,R48=2,R52=3),"Egendeklarasjon på at produkter tilfredsstiller A20-krav i BREEAM-NOR for prosjekter registrert mellom 30.03.2013 til 31.08.2016",IF(AND(V5=3,R48,3,R52&gt;=1),"Egendeklarasjon på at produkter tilfredsstiller HEA 02-krav i BREEAM-NOR for prosjekter registrert etter 31.08.2016",IF(AND(V5=3,R48,2,R52=3),"","")))))))))</f>
        <v/>
      </c>
      <c r="BV195" s="192"/>
      <c r="BW195" s="192"/>
      <c r="BX195" s="192"/>
      <c r="BY195" s="192"/>
      <c r="BZ195" s="192"/>
      <c r="CA195" s="192"/>
      <c r="CB195" s="192"/>
      <c r="CC195" s="192"/>
      <c r="CD195" s="192"/>
      <c r="CE195" s="45"/>
      <c r="CF195" s="44"/>
      <c r="CG195" s="44"/>
      <c r="CH195" s="44"/>
      <c r="CI195" s="44"/>
      <c r="CJ195" s="44"/>
      <c r="CK195" s="44"/>
      <c r="CL195" s="44"/>
      <c r="CM195" s="44"/>
      <c r="CN195" s="44"/>
      <c r="CO195" s="44"/>
      <c r="CP195" s="44"/>
      <c r="CQ195" s="44"/>
      <c r="CR195" s="44"/>
      <c r="CS195" s="44"/>
      <c r="CT195" s="44"/>
      <c r="CU195" s="44"/>
      <c r="CV195" s="44"/>
      <c r="CW195" s="44"/>
      <c r="CX195" s="44"/>
      <c r="CY195" s="44"/>
      <c r="CZ195" s="44"/>
      <c r="DA195" s="44"/>
      <c r="DB195" s="44"/>
      <c r="DC195" s="44"/>
      <c r="DD195" s="44"/>
      <c r="DE195" s="44"/>
      <c r="DF195" s="44"/>
      <c r="DG195" s="44"/>
      <c r="DH195" s="44"/>
      <c r="DI195" s="44"/>
      <c r="DJ195" s="44"/>
      <c r="DK195" s="44"/>
      <c r="DL195" s="44"/>
      <c r="DM195" s="44"/>
      <c r="DN195" s="44"/>
      <c r="DO195" s="44"/>
      <c r="DP195" s="44"/>
      <c r="DQ195" s="44"/>
      <c r="DR195" s="44"/>
      <c r="DS195" s="44"/>
      <c r="DT195" s="44"/>
      <c r="DU195" s="44"/>
      <c r="DV195" s="44"/>
      <c r="DW195" s="44"/>
      <c r="DX195" s="44"/>
      <c r="DY195" s="44"/>
      <c r="DZ195" s="44"/>
      <c r="EA195" s="44"/>
      <c r="EB195" s="44"/>
      <c r="EC195" s="44"/>
      <c r="ED195" s="44"/>
      <c r="EE195" s="44"/>
      <c r="EF195" s="44"/>
      <c r="EG195" s="44"/>
    </row>
    <row r="196" spans="1:137" ht="9.75" customHeight="1">
      <c r="A196" s="14"/>
      <c r="B196" s="44"/>
      <c r="C196" s="44"/>
      <c r="D196" s="44"/>
      <c r="E196" s="44"/>
      <c r="F196" s="44"/>
      <c r="G196" s="44"/>
      <c r="H196" s="44"/>
      <c r="I196" s="44"/>
      <c r="J196" s="44"/>
      <c r="K196" s="44"/>
      <c r="L196" s="44"/>
      <c r="M196" s="44"/>
      <c r="N196" s="44"/>
      <c r="O196" s="202"/>
      <c r="P196" s="44"/>
      <c r="Q196" s="44"/>
      <c r="R196" s="44"/>
      <c r="S196" s="97"/>
      <c r="AF196" s="32"/>
      <c r="AG196" s="33"/>
      <c r="AU196" s="4" t="str">
        <f t="shared" si="12"/>
        <v/>
      </c>
      <c r="AW196" s="4" t="str">
        <f t="shared" si="13"/>
        <v/>
      </c>
      <c r="BU196" s="193"/>
      <c r="BV196" s="193"/>
      <c r="BW196" s="193"/>
      <c r="BX196" s="193"/>
      <c r="BY196" s="193"/>
      <c r="BZ196" s="193"/>
      <c r="CA196" s="193"/>
      <c r="CB196" s="193"/>
      <c r="CC196" s="193"/>
      <c r="CD196" s="193"/>
      <c r="CE196" s="45"/>
      <c r="CF196" s="44"/>
      <c r="CG196" s="44"/>
      <c r="CH196" s="44"/>
      <c r="CI196" s="44"/>
      <c r="CJ196" s="44"/>
      <c r="CK196" s="44"/>
      <c r="CL196" s="44"/>
      <c r="CM196" s="44"/>
      <c r="CN196" s="44"/>
      <c r="CO196" s="44"/>
      <c r="CP196" s="44"/>
      <c r="CQ196" s="44"/>
      <c r="CR196" s="44"/>
      <c r="CS196" s="44"/>
      <c r="CT196" s="44"/>
      <c r="CU196" s="44"/>
      <c r="CV196" s="44"/>
      <c r="CW196" s="44"/>
      <c r="CX196" s="44"/>
      <c r="CY196" s="44"/>
      <c r="CZ196" s="44"/>
      <c r="DA196" s="44"/>
      <c r="DB196" s="44"/>
      <c r="DC196" s="44"/>
      <c r="DD196" s="44"/>
      <c r="DE196" s="44"/>
      <c r="DF196" s="44"/>
      <c r="DG196" s="44"/>
      <c r="DH196" s="44"/>
      <c r="DI196" s="44"/>
      <c r="DJ196" s="44"/>
      <c r="DK196" s="44"/>
      <c r="DL196" s="44"/>
      <c r="DM196" s="44"/>
      <c r="DN196" s="44"/>
      <c r="DO196" s="44"/>
      <c r="DP196" s="44"/>
      <c r="DQ196" s="44"/>
      <c r="DR196" s="44"/>
      <c r="DS196" s="44"/>
      <c r="DT196" s="44"/>
      <c r="DU196" s="44"/>
      <c r="DV196" s="44"/>
      <c r="DW196" s="44"/>
      <c r="DX196" s="44"/>
      <c r="DY196" s="44"/>
      <c r="DZ196" s="44"/>
      <c r="EA196" s="44"/>
      <c r="EB196" s="44"/>
      <c r="EC196" s="44"/>
      <c r="ED196" s="44"/>
      <c r="EE196" s="44"/>
      <c r="EF196" s="44"/>
      <c r="EG196" s="44"/>
    </row>
    <row r="197" spans="1:137">
      <c r="A197" s="14"/>
      <c r="B197" s="44"/>
      <c r="C197" s="44"/>
      <c r="D197" s="44"/>
      <c r="E197" s="44"/>
      <c r="F197" s="44"/>
      <c r="G197" s="44"/>
      <c r="H197" s="44"/>
      <c r="I197" s="44"/>
      <c r="J197" s="44"/>
      <c r="K197" s="44"/>
      <c r="L197" s="44"/>
      <c r="M197" s="44"/>
      <c r="N197" s="44"/>
      <c r="O197" s="44"/>
      <c r="P197" s="44"/>
      <c r="Q197" s="44"/>
      <c r="R197" s="44"/>
      <c r="S197" s="97"/>
      <c r="AF197" s="32"/>
      <c r="AG197" s="33"/>
      <c r="AU197" s="4" t="str">
        <f t="shared" si="12"/>
        <v/>
      </c>
      <c r="AW197" s="4" t="str">
        <f t="shared" si="13"/>
        <v/>
      </c>
      <c r="BU197" s="75"/>
      <c r="BV197" s="75"/>
      <c r="BW197" s="75"/>
      <c r="BX197" s="75"/>
      <c r="BY197" s="75"/>
      <c r="BZ197" s="75"/>
      <c r="CA197" s="75"/>
      <c r="CB197" s="75"/>
      <c r="CC197" s="75"/>
      <c r="CD197" s="75"/>
      <c r="CE197" s="45"/>
      <c r="CF197" s="44"/>
      <c r="CG197" s="44"/>
      <c r="CH197" s="44"/>
      <c r="CI197" s="44"/>
      <c r="CJ197" s="44"/>
      <c r="CK197" s="44"/>
      <c r="CL197" s="44"/>
      <c r="CM197" s="44"/>
      <c r="CN197" s="44"/>
      <c r="CO197" s="44"/>
      <c r="CP197" s="44"/>
      <c r="CQ197" s="44"/>
      <c r="CR197" s="44"/>
      <c r="CS197" s="44"/>
      <c r="CT197" s="44"/>
      <c r="CU197" s="44"/>
      <c r="CV197" s="44"/>
      <c r="CW197" s="44"/>
      <c r="CX197" s="44"/>
      <c r="CY197" s="44"/>
      <c r="CZ197" s="44"/>
      <c r="DA197" s="44"/>
      <c r="DB197" s="44"/>
      <c r="DC197" s="44"/>
      <c r="DD197" s="44"/>
      <c r="DE197" s="44"/>
      <c r="DF197" s="44"/>
      <c r="DG197" s="44"/>
      <c r="DH197" s="44"/>
      <c r="DI197" s="44"/>
      <c r="DJ197" s="44"/>
      <c r="DK197" s="44"/>
      <c r="DL197" s="44"/>
      <c r="DM197" s="44"/>
      <c r="DN197" s="44"/>
      <c r="DO197" s="44"/>
      <c r="DP197" s="44"/>
      <c r="DQ197" s="44"/>
      <c r="DR197" s="44"/>
      <c r="DS197" s="44"/>
      <c r="DT197" s="44"/>
      <c r="DU197" s="44"/>
      <c r="DV197" s="44"/>
      <c r="DW197" s="44"/>
      <c r="DX197" s="44"/>
      <c r="DY197" s="44"/>
      <c r="DZ197" s="44"/>
      <c r="EA197" s="44"/>
      <c r="EB197" s="44"/>
      <c r="EC197" s="44"/>
      <c r="ED197" s="44"/>
      <c r="EE197" s="44"/>
      <c r="EF197" s="44"/>
      <c r="EG197" s="44"/>
    </row>
    <row r="198" spans="1:137" ht="15" customHeight="1">
      <c r="A198" s="14"/>
      <c r="B198" s="44"/>
      <c r="C198" s="44"/>
      <c r="D198" s="44"/>
      <c r="E198" s="44"/>
      <c r="F198" s="44"/>
      <c r="G198" s="44"/>
      <c r="H198" s="44"/>
      <c r="I198" s="44"/>
      <c r="J198" s="44"/>
      <c r="K198" s="44"/>
      <c r="L198" s="44"/>
      <c r="M198" s="44"/>
      <c r="N198" s="44"/>
      <c r="O198" s="44"/>
      <c r="P198" s="44"/>
      <c r="Q198" s="44"/>
      <c r="R198" s="44"/>
      <c r="S198" s="97"/>
      <c r="AF198" s="32"/>
      <c r="AG198" s="33"/>
      <c r="BQ198" s="3" t="b">
        <f>IF(AND(V5=3,R48=3,R60=2,S62=TRUE),TRUE,FALSE)</f>
        <v>0</v>
      </c>
      <c r="BU198" s="75"/>
      <c r="BV198" s="75"/>
      <c r="BW198" s="75"/>
      <c r="BX198" s="75"/>
      <c r="BY198" s="198" t="str">
        <f>BK194</f>
        <v/>
      </c>
      <c r="BZ198" s="198"/>
      <c r="CA198" s="198"/>
      <c r="CB198" s="198"/>
      <c r="CC198" s="75"/>
      <c r="CD198" s="75"/>
      <c r="CE198" s="45"/>
      <c r="CF198" s="44"/>
      <c r="CG198" s="44"/>
      <c r="CH198" s="44"/>
      <c r="CI198" s="44"/>
      <c r="CJ198" s="44"/>
      <c r="CK198" s="44"/>
      <c r="CL198" s="44"/>
      <c r="CM198" s="44"/>
      <c r="CN198" s="44"/>
      <c r="CO198" s="44"/>
      <c r="CP198" s="44"/>
      <c r="CQ198" s="44"/>
      <c r="CR198" s="44"/>
      <c r="CS198" s="44"/>
      <c r="CT198" s="44"/>
      <c r="CU198" s="44"/>
      <c r="CV198" s="44"/>
      <c r="CW198" s="44"/>
      <c r="CX198" s="44"/>
      <c r="CY198" s="44"/>
      <c r="CZ198" s="44"/>
      <c r="DA198" s="44"/>
      <c r="DB198" s="44"/>
      <c r="DC198" s="44"/>
      <c r="DD198" s="44"/>
      <c r="DE198" s="44"/>
      <c r="DF198" s="44"/>
      <c r="DG198" s="44"/>
      <c r="DH198" s="44"/>
      <c r="DI198" s="44"/>
      <c r="DJ198" s="44"/>
      <c r="DK198" s="44"/>
      <c r="DL198" s="44"/>
      <c r="DM198" s="44"/>
      <c r="DN198" s="44"/>
      <c r="DO198" s="44"/>
      <c r="DP198" s="44"/>
      <c r="DQ198" s="44"/>
      <c r="DR198" s="44"/>
      <c r="DS198" s="44"/>
      <c r="DT198" s="44"/>
      <c r="DU198" s="44"/>
      <c r="DV198" s="44"/>
      <c r="DW198" s="44"/>
      <c r="DX198" s="44"/>
      <c r="DY198" s="44"/>
      <c r="DZ198" s="44"/>
      <c r="EA198" s="44"/>
      <c r="EB198" s="44"/>
      <c r="EC198" s="44"/>
      <c r="ED198" s="44"/>
      <c r="EE198" s="44"/>
      <c r="EF198" s="44"/>
      <c r="EG198" s="44"/>
    </row>
    <row r="199" spans="1:137" ht="15.75" thickBot="1">
      <c r="A199" s="14"/>
      <c r="B199" s="44"/>
      <c r="C199" s="44"/>
      <c r="D199" s="44"/>
      <c r="E199" s="44"/>
      <c r="F199" s="44"/>
      <c r="G199" s="44"/>
      <c r="H199" s="44"/>
      <c r="I199" s="44"/>
      <c r="J199" s="44"/>
      <c r="K199" s="44"/>
      <c r="L199" s="44"/>
      <c r="M199" s="44"/>
      <c r="N199" s="44"/>
      <c r="O199" s="44"/>
      <c r="P199" s="44"/>
      <c r="Q199" s="44"/>
      <c r="R199" s="44"/>
      <c r="S199" s="97"/>
      <c r="AF199" s="32"/>
      <c r="AG199" s="33"/>
      <c r="BU199" s="135" t="s">
        <v>10</v>
      </c>
      <c r="BV199" s="19"/>
      <c r="BW199" s="19"/>
      <c r="BX199" s="19"/>
      <c r="BY199" s="198"/>
      <c r="BZ199" s="198"/>
      <c r="CA199" s="198"/>
      <c r="CB199" s="198"/>
      <c r="CC199" s="107"/>
      <c r="CD199" s="19"/>
      <c r="CE199" s="45"/>
      <c r="CF199" s="44"/>
      <c r="CG199" s="44"/>
      <c r="CH199" s="44"/>
      <c r="CI199" s="44"/>
      <c r="CJ199" s="44"/>
      <c r="CK199" s="44"/>
      <c r="CL199" s="44"/>
      <c r="CM199" s="44"/>
      <c r="CN199" s="44"/>
      <c r="CO199" s="44"/>
      <c r="CP199" s="44"/>
      <c r="CQ199" s="44"/>
      <c r="CR199" s="44"/>
      <c r="CS199" s="44"/>
      <c r="CT199" s="44"/>
      <c r="CU199" s="44"/>
      <c r="CV199" s="44"/>
      <c r="CW199" s="44"/>
      <c r="CX199" s="44"/>
      <c r="CY199" s="44"/>
      <c r="CZ199" s="44"/>
      <c r="DA199" s="44"/>
      <c r="DB199" s="44"/>
      <c r="DC199" s="44"/>
      <c r="DD199" s="44"/>
      <c r="DE199" s="44"/>
      <c r="DF199" s="44"/>
      <c r="DG199" s="44"/>
      <c r="DH199" s="44"/>
      <c r="DI199" s="44"/>
      <c r="DJ199" s="44"/>
      <c r="DK199" s="44"/>
      <c r="DL199" s="44"/>
      <c r="DM199" s="44"/>
      <c r="DN199" s="44"/>
      <c r="DO199" s="44"/>
      <c r="DP199" s="44"/>
      <c r="DQ199" s="44"/>
      <c r="DR199" s="44"/>
      <c r="DS199" s="44"/>
      <c r="DT199" s="44"/>
      <c r="DU199" s="44"/>
      <c r="DV199" s="44"/>
      <c r="DW199" s="44"/>
      <c r="DX199" s="44"/>
      <c r="DY199" s="44"/>
      <c r="DZ199" s="44"/>
      <c r="EA199" s="44"/>
      <c r="EB199" s="44"/>
      <c r="EC199" s="44"/>
      <c r="ED199" s="44"/>
      <c r="EE199" s="44"/>
      <c r="EF199" s="44"/>
      <c r="EG199" s="44"/>
    </row>
    <row r="200" spans="1:137" ht="20.25" customHeight="1">
      <c r="A200" s="14"/>
      <c r="B200" s="44"/>
      <c r="C200" s="44"/>
      <c r="D200" s="44"/>
      <c r="E200" s="44"/>
      <c r="F200" s="44"/>
      <c r="G200" s="44"/>
      <c r="H200" s="44"/>
      <c r="I200" s="44"/>
      <c r="J200" s="44"/>
      <c r="K200" s="44"/>
      <c r="L200" s="44"/>
      <c r="M200" s="44"/>
      <c r="N200" s="44"/>
      <c r="O200" s="231" t="s">
        <v>127</v>
      </c>
      <c r="P200" s="232"/>
      <c r="Q200" s="232"/>
      <c r="R200" s="233"/>
      <c r="S200" s="97"/>
      <c r="AF200" s="32"/>
      <c r="AG200" s="33"/>
      <c r="BQ200" s="3" t="b">
        <f>IF(AND(V5=3,R48=3,R60=2,W102="Nei"),TRUE,FALSE)</f>
        <v>0</v>
      </c>
      <c r="BU200" s="194" t="str">
        <f>IF(R60=1,"",VLOOKUP(R60,P61:Q72,2,FALSE))</f>
        <v/>
      </c>
      <c r="BV200" s="194"/>
      <c r="BW200" s="194"/>
      <c r="BX200" s="194"/>
      <c r="BY200" s="194"/>
      <c r="BZ200" s="194"/>
      <c r="CA200" s="194"/>
      <c r="CB200" s="194"/>
      <c r="CC200" s="194"/>
      <c r="CD200" s="194"/>
      <c r="CE200" s="45"/>
      <c r="CF200" s="44"/>
      <c r="CG200" s="44"/>
      <c r="CH200" s="44"/>
      <c r="CI200" s="44"/>
      <c r="CJ200" s="44"/>
      <c r="CK200" s="44"/>
      <c r="CL200" s="44"/>
      <c r="CM200" s="44"/>
      <c r="CN200" s="44"/>
      <c r="CO200" s="44"/>
      <c r="CP200" s="44"/>
      <c r="CQ200" s="44"/>
      <c r="CR200" s="44"/>
      <c r="CS200" s="44"/>
      <c r="CT200" s="44"/>
      <c r="CU200" s="44"/>
      <c r="CV200" s="44"/>
      <c r="CW200" s="44"/>
      <c r="CX200" s="44"/>
      <c r="CY200" s="44"/>
      <c r="CZ200" s="44"/>
      <c r="DA200" s="44"/>
      <c r="DB200" s="44"/>
      <c r="DC200" s="44"/>
      <c r="DD200" s="44"/>
      <c r="DE200" s="44"/>
      <c r="DF200" s="44"/>
      <c r="DG200" s="44"/>
      <c r="DH200" s="44"/>
      <c r="DI200" s="44"/>
      <c r="DJ200" s="44"/>
      <c r="DK200" s="44"/>
      <c r="DL200" s="44"/>
      <c r="DM200" s="44"/>
      <c r="DN200" s="44"/>
      <c r="DO200" s="44"/>
      <c r="DP200" s="44"/>
      <c r="DQ200" s="44"/>
      <c r="DR200" s="44"/>
      <c r="DS200" s="44"/>
      <c r="DT200" s="44"/>
      <c r="DU200" s="44"/>
      <c r="DV200" s="44"/>
      <c r="DW200" s="44"/>
      <c r="DX200" s="44"/>
      <c r="DY200" s="44"/>
      <c r="DZ200" s="44"/>
      <c r="EA200" s="44"/>
      <c r="EB200" s="44"/>
      <c r="EC200" s="44"/>
      <c r="ED200" s="44"/>
      <c r="EE200" s="44"/>
      <c r="EF200" s="44"/>
      <c r="EG200" s="44"/>
    </row>
    <row r="201" spans="1:137" ht="12" customHeight="1">
      <c r="A201" s="14"/>
      <c r="B201" s="44"/>
      <c r="C201" s="44"/>
      <c r="D201" s="44"/>
      <c r="E201" s="44"/>
      <c r="F201" s="44"/>
      <c r="G201" s="44"/>
      <c r="H201" s="44"/>
      <c r="I201" s="44"/>
      <c r="J201" s="44"/>
      <c r="K201" s="44"/>
      <c r="L201" s="44"/>
      <c r="M201" s="44"/>
      <c r="N201" s="44"/>
      <c r="O201" s="234"/>
      <c r="P201" s="235"/>
      <c r="Q201" s="235"/>
      <c r="R201" s="236"/>
      <c r="S201" s="97"/>
      <c r="AF201" s="32"/>
      <c r="AG201" s="33"/>
      <c r="BU201" s="108"/>
      <c r="BV201" s="108"/>
      <c r="BW201" s="108"/>
      <c r="BX201" s="108"/>
      <c r="BY201" s="108"/>
      <c r="BZ201" s="108"/>
      <c r="CA201" s="108"/>
      <c r="CB201" s="19"/>
      <c r="CC201" s="19"/>
      <c r="CD201" s="19"/>
      <c r="CE201" s="45"/>
      <c r="CF201" s="44"/>
      <c r="CG201" s="44"/>
      <c r="CH201" s="44"/>
      <c r="CI201" s="44"/>
      <c r="CJ201" s="44"/>
      <c r="CK201" s="44"/>
      <c r="CL201" s="44"/>
      <c r="CM201" s="44"/>
      <c r="CN201" s="44"/>
      <c r="CO201" s="44"/>
      <c r="CP201" s="44"/>
      <c r="CQ201" s="44"/>
      <c r="CR201" s="44"/>
      <c r="CS201" s="44"/>
      <c r="CT201" s="44"/>
      <c r="CU201" s="44"/>
      <c r="CV201" s="44"/>
      <c r="CW201" s="44"/>
      <c r="CX201" s="44"/>
      <c r="CY201" s="44"/>
      <c r="CZ201" s="44"/>
      <c r="DA201" s="44"/>
      <c r="DB201" s="44"/>
      <c r="DC201" s="44"/>
      <c r="DD201" s="44"/>
      <c r="DE201" s="44"/>
      <c r="DF201" s="44"/>
      <c r="DG201" s="44"/>
      <c r="DH201" s="44"/>
      <c r="DI201" s="44"/>
      <c r="DJ201" s="44"/>
      <c r="DK201" s="44"/>
      <c r="DL201" s="44"/>
      <c r="DM201" s="44"/>
      <c r="DN201" s="44"/>
      <c r="DO201" s="44"/>
      <c r="DP201" s="44"/>
      <c r="DQ201" s="44"/>
      <c r="DR201" s="44"/>
      <c r="DS201" s="44"/>
      <c r="DT201" s="44"/>
      <c r="DU201" s="44"/>
      <c r="DV201" s="44"/>
      <c r="DW201" s="44"/>
      <c r="DX201" s="44"/>
      <c r="DY201" s="44"/>
      <c r="DZ201" s="44"/>
      <c r="EA201" s="44"/>
      <c r="EB201" s="44"/>
      <c r="EC201" s="44"/>
      <c r="ED201" s="44"/>
      <c r="EE201" s="44"/>
      <c r="EF201" s="44"/>
      <c r="EG201" s="44"/>
    </row>
    <row r="202" spans="1:137">
      <c r="A202" s="14"/>
      <c r="B202" s="44"/>
      <c r="C202" s="44"/>
      <c r="D202" s="44"/>
      <c r="E202" s="44"/>
      <c r="F202" s="44"/>
      <c r="G202" s="44"/>
      <c r="H202" s="44"/>
      <c r="I202" s="44"/>
      <c r="J202" s="44"/>
      <c r="K202" s="44"/>
      <c r="L202" s="44"/>
      <c r="M202" s="44"/>
      <c r="N202" s="44"/>
      <c r="O202" s="234"/>
      <c r="P202" s="235"/>
      <c r="Q202" s="235"/>
      <c r="R202" s="236"/>
      <c r="S202" s="97"/>
      <c r="AF202" s="32"/>
      <c r="AG202" s="33"/>
      <c r="BU202" s="135" t="s">
        <v>25</v>
      </c>
      <c r="BV202" s="109"/>
      <c r="BW202" s="109"/>
      <c r="BX202" s="109"/>
      <c r="BY202" s="109"/>
      <c r="BZ202" s="109"/>
      <c r="CA202" s="109"/>
      <c r="CB202" s="109"/>
      <c r="CC202" s="19"/>
      <c r="CD202" s="136"/>
      <c r="CE202" s="45"/>
      <c r="CF202" s="44"/>
      <c r="CG202" s="44"/>
      <c r="CH202" s="44"/>
      <c r="CI202" s="44"/>
      <c r="CJ202" s="44"/>
      <c r="CK202" s="44"/>
      <c r="CL202" s="44"/>
      <c r="CM202" s="44"/>
      <c r="CN202" s="44"/>
      <c r="CO202" s="44"/>
      <c r="CP202" s="44"/>
      <c r="CQ202" s="44"/>
      <c r="CR202" s="44"/>
      <c r="CS202" s="44"/>
      <c r="CT202" s="44"/>
      <c r="CU202" s="44"/>
      <c r="CV202" s="44"/>
      <c r="CW202" s="44"/>
      <c r="CX202" s="44"/>
      <c r="CY202" s="44"/>
      <c r="CZ202" s="44"/>
      <c r="DA202" s="44"/>
      <c r="DB202" s="44"/>
      <c r="DC202" s="44"/>
      <c r="DD202" s="44"/>
      <c r="DE202" s="44"/>
      <c r="DF202" s="44"/>
      <c r="DG202" s="44"/>
      <c r="DH202" s="44"/>
      <c r="DI202" s="44"/>
      <c r="DJ202" s="44"/>
      <c r="DK202" s="44"/>
      <c r="DL202" s="44"/>
      <c r="DM202" s="44"/>
      <c r="DN202" s="44"/>
      <c r="DO202" s="44"/>
      <c r="DP202" s="44"/>
      <c r="DQ202" s="44"/>
      <c r="DR202" s="44"/>
      <c r="DS202" s="44"/>
      <c r="DT202" s="44"/>
      <c r="DU202" s="44"/>
      <c r="DV202" s="44"/>
      <c r="DW202" s="44"/>
      <c r="DX202" s="44"/>
      <c r="DY202" s="44"/>
      <c r="DZ202" s="44"/>
      <c r="EA202" s="44"/>
      <c r="EB202" s="44"/>
      <c r="EC202" s="44"/>
      <c r="ED202" s="44"/>
      <c r="EE202" s="44"/>
      <c r="EF202" s="44"/>
      <c r="EG202" s="44"/>
    </row>
    <row r="203" spans="1:137" ht="15.75">
      <c r="A203" s="14"/>
      <c r="B203" s="44"/>
      <c r="C203" s="44"/>
      <c r="D203" s="44"/>
      <c r="E203" s="44"/>
      <c r="F203" s="44"/>
      <c r="G203" s="44"/>
      <c r="H203" s="44"/>
      <c r="I203" s="44"/>
      <c r="J203" s="44"/>
      <c r="K203" s="44"/>
      <c r="L203" s="44"/>
      <c r="M203" s="44"/>
      <c r="N203" s="44"/>
      <c r="O203" s="234"/>
      <c r="P203" s="235"/>
      <c r="Q203" s="235"/>
      <c r="R203" s="236"/>
      <c r="S203" s="97"/>
      <c r="AF203" s="32"/>
      <c r="AG203" s="33"/>
      <c r="BU203" s="196" t="str">
        <f>IF(C6="","Navn på produsent mangler!",C6)</f>
        <v>Navn på produsent mangler!</v>
      </c>
      <c r="BV203" s="196"/>
      <c r="BW203" s="196"/>
      <c r="BX203" s="196"/>
      <c r="BY203" s="196"/>
      <c r="BZ203" s="196"/>
      <c r="CA203" s="196"/>
      <c r="CB203" s="196"/>
      <c r="CC203" s="19"/>
      <c r="CD203" s="19"/>
      <c r="CE203" s="45"/>
      <c r="CF203" s="44"/>
      <c r="CG203" s="44"/>
      <c r="CH203" s="44"/>
      <c r="CI203" s="44"/>
      <c r="CJ203" s="44"/>
      <c r="CK203" s="44"/>
      <c r="CL203" s="44"/>
      <c r="CM203" s="44"/>
      <c r="CN203" s="44"/>
      <c r="CO203" s="44"/>
      <c r="CP203" s="44"/>
      <c r="CQ203" s="44"/>
      <c r="CR203" s="44"/>
      <c r="CS203" s="44"/>
      <c r="CT203" s="44"/>
      <c r="CU203" s="44"/>
      <c r="CV203" s="44"/>
      <c r="CW203" s="44"/>
      <c r="CX203" s="44"/>
      <c r="CY203" s="44"/>
      <c r="CZ203" s="44"/>
      <c r="DA203" s="44"/>
      <c r="DB203" s="44"/>
      <c r="DC203" s="44"/>
      <c r="DD203" s="44"/>
      <c r="DE203" s="44"/>
      <c r="DF203" s="44"/>
      <c r="DG203" s="44"/>
      <c r="DH203" s="44"/>
      <c r="DI203" s="44"/>
      <c r="DJ203" s="44"/>
      <c r="DK203" s="44"/>
      <c r="DL203" s="44"/>
      <c r="DM203" s="44"/>
      <c r="DN203" s="44"/>
      <c r="DO203" s="44"/>
      <c r="DP203" s="44"/>
      <c r="DQ203" s="44"/>
      <c r="DR203" s="44"/>
      <c r="DS203" s="44"/>
      <c r="DT203" s="44"/>
      <c r="DU203" s="44"/>
      <c r="DV203" s="44"/>
      <c r="DW203" s="44"/>
      <c r="DX203" s="44"/>
      <c r="DY203" s="44"/>
      <c r="DZ203" s="44"/>
      <c r="EA203" s="44"/>
      <c r="EB203" s="44"/>
      <c r="EC203" s="44"/>
      <c r="ED203" s="44"/>
      <c r="EE203" s="44"/>
      <c r="EF203" s="44"/>
      <c r="EG203" s="44"/>
    </row>
    <row r="204" spans="1:137" ht="12.75" customHeight="1">
      <c r="A204" s="14"/>
      <c r="B204" s="44"/>
      <c r="C204" s="44"/>
      <c r="D204" s="44"/>
      <c r="E204" s="44"/>
      <c r="F204" s="44"/>
      <c r="G204" s="44"/>
      <c r="H204" s="44"/>
      <c r="I204" s="44"/>
      <c r="J204" s="44"/>
      <c r="K204" s="44"/>
      <c r="L204" s="44"/>
      <c r="M204" s="44"/>
      <c r="N204" s="44"/>
      <c r="O204" s="234"/>
      <c r="P204" s="235"/>
      <c r="Q204" s="235"/>
      <c r="R204" s="236"/>
      <c r="S204" s="97"/>
      <c r="AE204" s="3">
        <f>LEN(AF204)</f>
        <v>157</v>
      </c>
      <c r="AF204" s="3" t="s">
        <v>54</v>
      </c>
      <c r="BQ204" s="3" t="b">
        <f>IF(AND(V5=3,R48=3,R60=2),TRUE,FALSE)</f>
        <v>0</v>
      </c>
      <c r="BU204" s="19"/>
      <c r="BV204" s="17"/>
      <c r="BW204" s="17"/>
      <c r="BX204" s="17"/>
      <c r="BY204" s="17"/>
      <c r="BZ204" s="19"/>
      <c r="CA204" s="19"/>
      <c r="CB204" s="19"/>
      <c r="CC204" s="19"/>
      <c r="CD204" s="19"/>
      <c r="CE204" s="45"/>
      <c r="CF204" s="44"/>
      <c r="CG204" s="44"/>
      <c r="CH204" s="44"/>
      <c r="CI204" s="44"/>
      <c r="CJ204" s="44"/>
      <c r="CK204" s="44"/>
      <c r="CL204" s="44"/>
      <c r="CM204" s="44"/>
      <c r="CN204" s="44"/>
      <c r="CO204" s="44"/>
      <c r="CP204" s="44"/>
      <c r="CQ204" s="44"/>
      <c r="CR204" s="44"/>
      <c r="CS204" s="44"/>
      <c r="CT204" s="44"/>
      <c r="CU204" s="44"/>
      <c r="CV204" s="44"/>
      <c r="CW204" s="44"/>
      <c r="CX204" s="44"/>
      <c r="CY204" s="44"/>
      <c r="CZ204" s="44"/>
      <c r="DA204" s="44"/>
      <c r="DB204" s="44"/>
      <c r="DC204" s="44"/>
      <c r="DD204" s="44"/>
      <c r="DE204" s="44"/>
      <c r="DF204" s="44"/>
      <c r="DG204" s="44"/>
      <c r="DH204" s="44"/>
      <c r="DI204" s="44"/>
      <c r="DJ204" s="44"/>
      <c r="DK204" s="44"/>
      <c r="DL204" s="44"/>
      <c r="DM204" s="44"/>
      <c r="DN204" s="44"/>
      <c r="DO204" s="44"/>
      <c r="DP204" s="44"/>
      <c r="DQ204" s="44"/>
      <c r="DR204" s="44"/>
      <c r="DS204" s="44"/>
      <c r="DT204" s="44"/>
      <c r="DU204" s="44"/>
      <c r="DV204" s="44"/>
      <c r="DW204" s="44"/>
      <c r="DX204" s="44"/>
      <c r="DY204" s="44"/>
      <c r="DZ204" s="44"/>
      <c r="EA204" s="44"/>
      <c r="EB204" s="44"/>
      <c r="EC204" s="44"/>
      <c r="ED204" s="44"/>
      <c r="EE204" s="44"/>
      <c r="EF204" s="44"/>
      <c r="EG204" s="44"/>
    </row>
    <row r="205" spans="1:137" ht="15" customHeight="1" thickBot="1">
      <c r="A205" s="14"/>
      <c r="B205" s="44"/>
      <c r="C205" s="44"/>
      <c r="D205" s="44"/>
      <c r="E205" s="44"/>
      <c r="F205" s="44"/>
      <c r="G205" s="44"/>
      <c r="H205" s="44"/>
      <c r="I205" s="44"/>
      <c r="J205" s="44"/>
      <c r="K205" s="44"/>
      <c r="L205" s="44"/>
      <c r="M205" s="44"/>
      <c r="N205" s="44"/>
      <c r="O205" s="237"/>
      <c r="P205" s="238"/>
      <c r="Q205" s="238"/>
      <c r="R205" s="239"/>
      <c r="S205" s="97"/>
      <c r="AE205" s="3">
        <f>LEN(AF205)</f>
        <v>80</v>
      </c>
      <c r="AF205" s="3" t="s">
        <v>55</v>
      </c>
      <c r="BU205" s="199" t="str">
        <f>W45</f>
        <v/>
      </c>
      <c r="BV205" s="199"/>
      <c r="BW205" s="199"/>
      <c r="BX205" s="199"/>
      <c r="BY205" s="199"/>
      <c r="BZ205" s="199"/>
      <c r="CA205" s="199"/>
      <c r="CB205" s="199"/>
      <c r="CC205" s="199"/>
      <c r="CD205" s="199"/>
      <c r="CE205" s="45"/>
      <c r="CF205" s="44"/>
      <c r="CG205" s="44"/>
      <c r="CH205" s="44"/>
      <c r="CI205" s="44"/>
      <c r="CJ205" s="44"/>
      <c r="CK205" s="44"/>
      <c r="CL205" s="44"/>
      <c r="CM205" s="44"/>
      <c r="CN205" s="44"/>
      <c r="CO205" s="44"/>
      <c r="CP205" s="44"/>
      <c r="CQ205" s="44"/>
      <c r="CR205" s="44"/>
      <c r="CS205" s="44"/>
      <c r="CT205" s="44"/>
      <c r="CU205" s="44"/>
      <c r="CV205" s="44"/>
      <c r="CW205" s="44"/>
      <c r="CX205" s="44"/>
      <c r="CY205" s="44"/>
      <c r="CZ205" s="44"/>
      <c r="DA205" s="44"/>
      <c r="DB205" s="44"/>
      <c r="DC205" s="44"/>
      <c r="DD205" s="44"/>
      <c r="DE205" s="44"/>
      <c r="DF205" s="44"/>
      <c r="DG205" s="44"/>
      <c r="DH205" s="44"/>
      <c r="DI205" s="44"/>
      <c r="DJ205" s="44"/>
      <c r="DK205" s="44"/>
      <c r="DL205" s="44"/>
      <c r="DM205" s="44"/>
      <c r="DN205" s="44"/>
      <c r="DO205" s="44"/>
      <c r="DP205" s="44"/>
      <c r="DQ205" s="44"/>
      <c r="DR205" s="44"/>
      <c r="DS205" s="44"/>
      <c r="DT205" s="44"/>
      <c r="DU205" s="44"/>
      <c r="DV205" s="44"/>
      <c r="DW205" s="44"/>
      <c r="DX205" s="44"/>
      <c r="DY205" s="44"/>
      <c r="DZ205" s="44"/>
      <c r="EA205" s="44"/>
      <c r="EB205" s="44"/>
      <c r="EC205" s="44"/>
      <c r="ED205" s="44"/>
      <c r="EE205" s="44"/>
      <c r="EF205" s="44"/>
      <c r="EG205" s="44"/>
    </row>
    <row r="206" spans="1:137" ht="18" customHeight="1">
      <c r="A206" s="14"/>
      <c r="B206" s="44"/>
      <c r="C206" s="44"/>
      <c r="D206" s="44"/>
      <c r="E206" s="44"/>
      <c r="F206" s="44"/>
      <c r="G206" s="44"/>
      <c r="H206" s="44"/>
      <c r="I206" s="44"/>
      <c r="J206" s="44"/>
      <c r="K206" s="44"/>
      <c r="L206" s="44"/>
      <c r="M206" s="44"/>
      <c r="N206" s="44"/>
      <c r="O206" s="44"/>
      <c r="P206" s="44"/>
      <c r="Q206" s="44"/>
      <c r="R206" s="44"/>
      <c r="S206" s="97"/>
      <c r="AE206" s="3">
        <f>LEN(AF206)</f>
        <v>163</v>
      </c>
      <c r="AF206" s="3" t="s">
        <v>53</v>
      </c>
      <c r="BU206" s="199"/>
      <c r="BV206" s="199"/>
      <c r="BW206" s="199"/>
      <c r="BX206" s="199"/>
      <c r="BY206" s="199"/>
      <c r="BZ206" s="199"/>
      <c r="CA206" s="199"/>
      <c r="CB206" s="199"/>
      <c r="CC206" s="199"/>
      <c r="CD206" s="199"/>
      <c r="CE206" s="45"/>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4"/>
      <c r="DH206" s="44"/>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row>
    <row r="207" spans="1:137" ht="15" customHeight="1">
      <c r="A207" s="14"/>
      <c r="B207" s="44"/>
      <c r="C207" s="44"/>
      <c r="D207" s="44"/>
      <c r="E207" s="44"/>
      <c r="F207" s="44"/>
      <c r="G207" s="44"/>
      <c r="H207" s="44"/>
      <c r="I207" s="44"/>
      <c r="J207" s="44"/>
      <c r="K207" s="44"/>
      <c r="L207" s="44"/>
      <c r="M207" s="44"/>
      <c r="N207" s="44"/>
      <c r="O207" s="44"/>
      <c r="P207" s="44"/>
      <c r="Q207" s="44"/>
      <c r="R207" s="44"/>
      <c r="S207" s="97"/>
      <c r="AF207" s="3" t="str">
        <f>CONCATENATE(AF204," ",AF205," ",AF206)</f>
        <v>EUs malingsdirektiv (2004/42/EC) og forskrift om begrensning i bruk av helse- og miljøfarlige kjemikalier og andre produkter (produktforskriften) vedlegg VII til § 2-24 til § 2-26 om organiske forbindelser i maling- og lakkeringsprodukter bruker inndelingen over på maling og lakk. Vi ber om at samme inndeling av type (a, b, c,..., l) benyttes i kolonne 2 i tabellen der produktinformasjon deklareres.</v>
      </c>
      <c r="BU207" s="135" t="s">
        <v>26</v>
      </c>
      <c r="BV207" s="110"/>
      <c r="BW207" s="110"/>
      <c r="BX207" s="110"/>
      <c r="BY207" s="110"/>
      <c r="BZ207" s="110"/>
      <c r="CA207" s="110"/>
      <c r="CB207" s="110"/>
      <c r="CC207" s="19"/>
      <c r="CD207" s="19"/>
      <c r="CE207" s="45"/>
      <c r="CF207" s="44"/>
      <c r="CG207" s="44"/>
      <c r="CH207" s="44"/>
      <c r="CI207" s="44"/>
      <c r="CJ207" s="44"/>
      <c r="CK207" s="44"/>
      <c r="CL207" s="44"/>
      <c r="CM207" s="44"/>
      <c r="CN207" s="44"/>
      <c r="CO207" s="44"/>
      <c r="CP207" s="44"/>
      <c r="CQ207" s="44"/>
      <c r="CR207" s="44"/>
      <c r="CS207" s="44"/>
      <c r="CT207" s="44"/>
      <c r="CU207" s="44"/>
      <c r="CV207" s="44"/>
      <c r="CW207" s="44"/>
      <c r="CX207" s="44"/>
      <c r="CY207" s="44"/>
      <c r="CZ207" s="44"/>
      <c r="DA207" s="44"/>
      <c r="DB207" s="44"/>
      <c r="DC207" s="44"/>
      <c r="DD207" s="44"/>
      <c r="DE207" s="44"/>
      <c r="DF207" s="44"/>
      <c r="DG207" s="44"/>
      <c r="DH207" s="44"/>
      <c r="DI207" s="44"/>
      <c r="DJ207" s="44"/>
      <c r="DK207" s="44"/>
      <c r="DL207" s="44"/>
      <c r="DM207" s="44"/>
      <c r="DN207" s="44"/>
      <c r="DO207" s="44"/>
      <c r="DP207" s="44"/>
      <c r="DQ207" s="44"/>
      <c r="DR207" s="44"/>
      <c r="DS207" s="44"/>
      <c r="DT207" s="44"/>
      <c r="DU207" s="44"/>
      <c r="DV207" s="44"/>
      <c r="DW207" s="44"/>
      <c r="DX207" s="44"/>
      <c r="DY207" s="44"/>
      <c r="DZ207" s="44"/>
      <c r="EA207" s="44"/>
      <c r="EB207" s="44"/>
      <c r="EC207" s="44"/>
      <c r="ED207" s="44"/>
      <c r="EE207" s="44"/>
      <c r="EF207" s="44"/>
      <c r="EG207" s="44"/>
    </row>
    <row r="208" spans="1:137" ht="15" customHeight="1">
      <c r="A208" s="14"/>
      <c r="B208" s="44"/>
      <c r="C208" s="44"/>
      <c r="D208" s="44"/>
      <c r="E208" s="44"/>
      <c r="F208" s="44"/>
      <c r="G208" s="44"/>
      <c r="H208" s="44"/>
      <c r="I208" s="44"/>
      <c r="J208" s="44"/>
      <c r="K208" s="44"/>
      <c r="L208" s="44"/>
      <c r="M208" s="44"/>
      <c r="N208" s="44"/>
      <c r="O208" s="44"/>
      <c r="P208" s="44"/>
      <c r="Q208" s="44"/>
      <c r="R208" s="44"/>
      <c r="S208" s="97"/>
      <c r="BQ208" s="3" t="b">
        <f>IF(BQ210="",TRUE,FALSE)</f>
        <v>1</v>
      </c>
      <c r="BU208" s="195" t="str">
        <f>IF(C74="","Handelsnavn må oppgis",C74)</f>
        <v>Handelsnavn må oppgis</v>
      </c>
      <c r="BV208" s="195"/>
      <c r="BW208" s="195"/>
      <c r="BX208" s="195"/>
      <c r="BY208" s="195"/>
      <c r="BZ208" s="195"/>
      <c r="CA208" s="195"/>
      <c r="CB208" s="195"/>
      <c r="CC208" s="18"/>
      <c r="CD208" s="18"/>
      <c r="CE208" s="45"/>
      <c r="CF208" s="44"/>
      <c r="CG208" s="44"/>
      <c r="CH208" s="44"/>
      <c r="CI208" s="44"/>
      <c r="CJ208" s="44"/>
      <c r="CK208" s="44"/>
      <c r="CL208" s="44"/>
      <c r="CM208" s="44"/>
      <c r="CN208" s="44"/>
      <c r="CO208" s="44"/>
      <c r="CP208" s="44"/>
      <c r="CQ208" s="44"/>
      <c r="CR208" s="44"/>
      <c r="CS208" s="44"/>
      <c r="CT208" s="44"/>
      <c r="CU208" s="44"/>
      <c r="CV208" s="44"/>
      <c r="CW208" s="44"/>
      <c r="CX208" s="44"/>
      <c r="CY208" s="44"/>
      <c r="CZ208" s="44"/>
      <c r="DA208" s="44"/>
      <c r="DB208" s="44"/>
      <c r="DC208" s="44"/>
      <c r="DD208" s="44"/>
      <c r="DE208" s="44"/>
      <c r="DF208" s="44"/>
      <c r="DG208" s="44"/>
      <c r="DH208" s="44"/>
      <c r="DI208" s="44"/>
      <c r="DJ208" s="44"/>
      <c r="DK208" s="44"/>
      <c r="DL208" s="44"/>
      <c r="DM208" s="44"/>
      <c r="DN208" s="44"/>
      <c r="DO208" s="44"/>
      <c r="DP208" s="44"/>
      <c r="DQ208" s="44"/>
      <c r="DR208" s="44"/>
      <c r="DS208" s="44"/>
      <c r="DT208" s="44"/>
      <c r="DU208" s="44"/>
      <c r="DV208" s="44"/>
      <c r="DW208" s="44"/>
      <c r="DX208" s="44"/>
      <c r="DY208" s="44"/>
      <c r="DZ208" s="44"/>
      <c r="EA208" s="44"/>
      <c r="EB208" s="44"/>
      <c r="EC208" s="44"/>
      <c r="ED208" s="44"/>
      <c r="EE208" s="44"/>
      <c r="EF208" s="44"/>
      <c r="EG208" s="44"/>
    </row>
    <row r="209" spans="1:137" ht="15" customHeight="1">
      <c r="A209" s="14"/>
      <c r="B209" s="44"/>
      <c r="C209" s="44"/>
      <c r="D209" s="44"/>
      <c r="E209" s="44"/>
      <c r="F209" s="44"/>
      <c r="G209" s="44"/>
      <c r="H209" s="44"/>
      <c r="I209" s="44"/>
      <c r="J209" s="44"/>
      <c r="K209" s="44"/>
      <c r="L209" s="44"/>
      <c r="M209" s="44"/>
      <c r="N209" s="44"/>
      <c r="O209" s="44"/>
      <c r="P209" s="44"/>
      <c r="Q209" s="44"/>
      <c r="R209" s="44"/>
      <c r="S209" s="97"/>
      <c r="BU209" s="195"/>
      <c r="BV209" s="195"/>
      <c r="BW209" s="195"/>
      <c r="BX209" s="195"/>
      <c r="BY209" s="195"/>
      <c r="BZ209" s="195"/>
      <c r="CA209" s="195"/>
      <c r="CB209" s="195"/>
      <c r="CC209" s="18"/>
      <c r="CD209" s="18"/>
      <c r="CE209" s="45"/>
      <c r="CF209" s="44"/>
      <c r="CG209" s="44"/>
      <c r="CH209" s="44"/>
      <c r="CI209" s="44"/>
      <c r="CJ209" s="44"/>
      <c r="CK209" s="44"/>
      <c r="CL209" s="44"/>
      <c r="CM209" s="44"/>
      <c r="CN209" s="44"/>
      <c r="CO209" s="44"/>
      <c r="CP209" s="44"/>
      <c r="CQ209" s="44"/>
      <c r="CR209" s="44"/>
      <c r="CS209" s="44"/>
      <c r="CT209" s="44"/>
      <c r="CU209" s="44"/>
      <c r="CV209" s="44"/>
      <c r="CW209" s="44"/>
      <c r="CX209" s="44"/>
      <c r="CY209" s="44"/>
      <c r="CZ209" s="44"/>
      <c r="DA209" s="44"/>
      <c r="DB209" s="44"/>
      <c r="DC209" s="44"/>
      <c r="DD209" s="44"/>
      <c r="DE209" s="44"/>
      <c r="DF209" s="44"/>
      <c r="DG209" s="44"/>
      <c r="DH209" s="44"/>
      <c r="DI209" s="44"/>
      <c r="DJ209" s="44"/>
      <c r="DK209" s="44"/>
      <c r="DL209" s="44"/>
      <c r="DM209" s="44"/>
      <c r="DN209" s="44"/>
      <c r="DO209" s="44"/>
      <c r="DP209" s="44"/>
      <c r="DQ209" s="44"/>
      <c r="DR209" s="44"/>
      <c r="DS209" s="44"/>
      <c r="DT209" s="44"/>
      <c r="DU209" s="44"/>
      <c r="DV209" s="44"/>
      <c r="DW209" s="44"/>
      <c r="DX209" s="44"/>
      <c r="DY209" s="44"/>
      <c r="DZ209" s="44"/>
      <c r="EA209" s="44"/>
      <c r="EB209" s="44"/>
      <c r="EC209" s="44"/>
      <c r="ED209" s="44"/>
      <c r="EE209" s="44"/>
      <c r="EF209" s="44"/>
      <c r="EG209" s="44"/>
    </row>
    <row r="210" spans="1:137" ht="30.75" customHeight="1">
      <c r="A210" s="14"/>
      <c r="B210" s="44"/>
      <c r="C210" s="44"/>
      <c r="D210" s="44"/>
      <c r="E210" s="44"/>
      <c r="F210" s="44"/>
      <c r="G210" s="44"/>
      <c r="H210" s="44"/>
      <c r="I210" s="44"/>
      <c r="J210" s="44"/>
      <c r="K210" s="44"/>
      <c r="L210" s="44"/>
      <c r="M210" s="44"/>
      <c r="N210" s="44"/>
      <c r="O210" s="44"/>
      <c r="P210" s="44"/>
      <c r="Q210" s="44"/>
      <c r="R210" s="44"/>
      <c r="S210" s="97"/>
      <c r="AR210" s="3" t="s">
        <v>126</v>
      </c>
      <c r="AS210" s="3" t="s">
        <v>9</v>
      </c>
      <c r="AT210" s="3" t="s">
        <v>45</v>
      </c>
      <c r="AV210" s="3" t="s">
        <v>125</v>
      </c>
      <c r="BQ210" s="3" t="str">
        <f>I82</f>
        <v/>
      </c>
      <c r="BR210" s="3" t="str">
        <f>M82</f>
        <v/>
      </c>
      <c r="BU210" s="200" t="str">
        <f>C82</f>
        <v/>
      </c>
      <c r="BV210" s="200"/>
      <c r="BW210" s="200"/>
      <c r="BX210" s="200"/>
      <c r="BY210" s="225" t="str">
        <f>IF(BQ208=TRUE,BR210,BQ210)</f>
        <v/>
      </c>
      <c r="BZ210" s="225"/>
      <c r="CA210" s="139" t="str">
        <f>IF(BQ208=TRUE,"",BR210)</f>
        <v/>
      </c>
      <c r="CB210" s="140" t="s">
        <v>44</v>
      </c>
      <c r="CC210" s="141"/>
      <c r="CD210" s="141"/>
      <c r="CE210" s="45"/>
      <c r="CF210" s="44"/>
      <c r="CG210" s="44"/>
      <c r="CH210" s="44"/>
      <c r="CI210" s="44"/>
      <c r="CJ210" s="44"/>
      <c r="CK210" s="44"/>
      <c r="CL210" s="44"/>
      <c r="CM210" s="44"/>
      <c r="CN210" s="44"/>
      <c r="CO210" s="44"/>
      <c r="CP210" s="44"/>
      <c r="CQ210" s="44"/>
      <c r="CR210" s="44"/>
      <c r="CS210" s="44"/>
      <c r="CT210" s="44"/>
      <c r="CU210" s="44"/>
      <c r="CV210" s="44"/>
      <c r="CW210" s="44"/>
      <c r="CX210" s="44"/>
      <c r="CY210" s="44"/>
      <c r="CZ210" s="44"/>
      <c r="DA210" s="44"/>
      <c r="DB210" s="44"/>
      <c r="DC210" s="44"/>
      <c r="DD210" s="44"/>
      <c r="DE210" s="44"/>
      <c r="DF210" s="44"/>
      <c r="DG210" s="44"/>
      <c r="DH210" s="44"/>
      <c r="DI210" s="44"/>
      <c r="DJ210" s="44"/>
      <c r="DK210" s="44"/>
      <c r="DL210" s="44"/>
      <c r="DM210" s="44"/>
      <c r="DN210" s="44"/>
      <c r="DO210" s="44"/>
      <c r="DP210" s="44"/>
      <c r="DQ210" s="44"/>
      <c r="DR210" s="44"/>
      <c r="DS210" s="44"/>
      <c r="DT210" s="44"/>
      <c r="DU210" s="44"/>
      <c r="DV210" s="44"/>
      <c r="DW210" s="44"/>
      <c r="DX210" s="44"/>
      <c r="DY210" s="44"/>
      <c r="DZ210" s="44"/>
      <c r="EA210" s="44"/>
      <c r="EB210" s="44"/>
      <c r="EC210" s="44"/>
      <c r="ED210" s="44"/>
      <c r="EE210" s="44"/>
      <c r="EF210" s="44"/>
      <c r="EG210" s="44"/>
    </row>
    <row r="211" spans="1:137" ht="15" customHeight="1">
      <c r="A211" s="14"/>
      <c r="B211" s="44"/>
      <c r="C211" s="44"/>
      <c r="D211" s="44"/>
      <c r="E211" s="44"/>
      <c r="F211" s="44"/>
      <c r="G211" s="44"/>
      <c r="H211" s="44"/>
      <c r="I211" s="44"/>
      <c r="J211" s="44"/>
      <c r="K211" s="44"/>
      <c r="L211" s="44"/>
      <c r="M211" s="44"/>
      <c r="N211" s="44"/>
      <c r="O211" s="44"/>
      <c r="P211" s="44"/>
      <c r="Q211" s="44"/>
      <c r="R211" s="44"/>
      <c r="S211" s="97"/>
      <c r="AP211" s="3" t="b">
        <f>IF(W59=TRUE,TRUE,FALSE)</f>
        <v>0</v>
      </c>
      <c r="AQ211" s="3" t="b">
        <f>IF(BU211="",FALSE,TRUE)</f>
        <v>0</v>
      </c>
      <c r="AR211" s="3" t="b">
        <f>AND($AP$214,AQ211)</f>
        <v>0</v>
      </c>
      <c r="AS211" s="3" t="b">
        <f>AND($AP$213,AQ211)</f>
        <v>0</v>
      </c>
      <c r="AT211" s="3" t="b">
        <f>AND($AP$212,AQ211)</f>
        <v>0</v>
      </c>
      <c r="AV211" s="11"/>
      <c r="BT211" s="4"/>
      <c r="BU211" s="157" t="str">
        <f>X85</f>
        <v/>
      </c>
      <c r="BV211" s="156" t="str">
        <f>$Y$85</f>
        <v/>
      </c>
      <c r="BW211" s="156"/>
      <c r="BX211" s="156"/>
      <c r="BY211" s="156" t="str">
        <f>IF(BQ208=TRUE,W88,$Z$85)</f>
        <v/>
      </c>
      <c r="BZ211" s="156"/>
      <c r="CA211" s="157" t="str">
        <f>IF(BQ208=TRUE,"",W88)</f>
        <v/>
      </c>
      <c r="CB211" s="156" t="str">
        <f>IF(BU211="","",IF(O83="","",O83))</f>
        <v/>
      </c>
      <c r="CC211" s="156"/>
      <c r="CD211" s="156"/>
      <c r="CE211" s="45"/>
      <c r="CF211" s="44"/>
      <c r="CG211" s="44"/>
      <c r="CH211" s="44"/>
      <c r="CI211" s="44"/>
      <c r="CJ211" s="44"/>
      <c r="CK211" s="44"/>
      <c r="CL211" s="44"/>
      <c r="CM211" s="44"/>
      <c r="CN211" s="44"/>
      <c r="CO211" s="44"/>
      <c r="CP211" s="44"/>
      <c r="CQ211" s="44"/>
      <c r="CR211" s="44"/>
      <c r="CS211" s="44"/>
      <c r="CT211" s="44"/>
      <c r="CU211" s="44"/>
      <c r="CV211" s="44"/>
      <c r="CW211" s="44"/>
      <c r="CX211" s="44"/>
      <c r="CY211" s="44"/>
      <c r="CZ211" s="44"/>
      <c r="DA211" s="44"/>
      <c r="DB211" s="44"/>
      <c r="DC211" s="44"/>
      <c r="DD211" s="44"/>
      <c r="DE211" s="44"/>
      <c r="DF211" s="44"/>
      <c r="DG211" s="44"/>
      <c r="DH211" s="44"/>
      <c r="DI211" s="44"/>
      <c r="DJ211" s="44"/>
      <c r="DK211" s="44"/>
      <c r="DL211" s="44"/>
      <c r="DM211" s="44"/>
      <c r="DN211" s="44"/>
      <c r="DO211" s="44"/>
      <c r="DP211" s="44"/>
      <c r="DQ211" s="44"/>
      <c r="DR211" s="44"/>
      <c r="DS211" s="44"/>
      <c r="DT211" s="44"/>
      <c r="DU211" s="44"/>
      <c r="DV211" s="44"/>
      <c r="DW211" s="44"/>
      <c r="DX211" s="44"/>
      <c r="DY211" s="44"/>
      <c r="DZ211" s="44"/>
      <c r="EA211" s="44"/>
      <c r="EB211" s="44"/>
      <c r="EC211" s="44"/>
      <c r="ED211" s="44"/>
      <c r="EE211" s="44"/>
      <c r="EF211" s="44"/>
      <c r="EG211" s="44"/>
    </row>
    <row r="212" spans="1:137" ht="40.5" customHeight="1">
      <c r="A212" s="14"/>
      <c r="B212" s="44"/>
      <c r="C212" s="44"/>
      <c r="D212" s="44"/>
      <c r="E212" s="44"/>
      <c r="F212" s="44"/>
      <c r="G212" s="44"/>
      <c r="H212" s="44"/>
      <c r="I212" s="44"/>
      <c r="J212" s="44"/>
      <c r="K212" s="44"/>
      <c r="L212" s="44"/>
      <c r="M212" s="44"/>
      <c r="N212" s="44"/>
      <c r="O212" s="44"/>
      <c r="P212" s="44"/>
      <c r="Q212" s="44"/>
      <c r="R212" s="44"/>
      <c r="S212" s="97"/>
      <c r="AP212" s="3" t="b">
        <f>IF(R48=2,TRUE,FALSE)</f>
        <v>0</v>
      </c>
      <c r="AQ212" s="3" t="b">
        <f>IF(BU213="",FALSE,TRUE)</f>
        <v>0</v>
      </c>
      <c r="AR212" s="3" t="b">
        <f>IF(BQ204=TRUE,FALSE,AND($AP$214,AQ212))</f>
        <v>0</v>
      </c>
      <c r="AS212" s="3" t="b">
        <f>AND($AP$213,AQ212)</f>
        <v>0</v>
      </c>
      <c r="AT212" s="3" t="b">
        <f>AND($AP$212,AQ212)</f>
        <v>0</v>
      </c>
      <c r="AV212" s="11"/>
      <c r="BT212" s="4"/>
      <c r="BU212" s="157"/>
      <c r="BV212" s="156"/>
      <c r="BW212" s="156"/>
      <c r="BX212" s="156"/>
      <c r="BY212" s="188"/>
      <c r="BZ212" s="188"/>
      <c r="CA212" s="189"/>
      <c r="CB212" s="156"/>
      <c r="CC212" s="156"/>
      <c r="CD212" s="156"/>
      <c r="CE212" s="45"/>
      <c r="CF212" s="44"/>
      <c r="CG212" s="44"/>
      <c r="CH212" s="44"/>
      <c r="CI212" s="44"/>
      <c r="CJ212" s="44"/>
      <c r="CK212" s="44"/>
      <c r="CL212" s="44"/>
      <c r="CM212" s="44"/>
      <c r="CN212" s="44"/>
      <c r="CO212" s="44"/>
      <c r="CP212" s="44"/>
      <c r="CQ212" s="44"/>
      <c r="CR212" s="44"/>
      <c r="CS212" s="44"/>
      <c r="CT212" s="44"/>
      <c r="CU212" s="44"/>
      <c r="CV212" s="44"/>
      <c r="CW212" s="44"/>
      <c r="CX212" s="44"/>
      <c r="CY212" s="44"/>
      <c r="CZ212" s="44"/>
      <c r="DA212" s="44"/>
      <c r="DB212" s="44"/>
      <c r="DC212" s="44"/>
      <c r="DD212" s="44"/>
      <c r="DE212" s="44"/>
      <c r="DF212" s="44"/>
      <c r="DG212" s="44"/>
      <c r="DH212" s="44"/>
      <c r="DI212" s="44"/>
      <c r="DJ212" s="44"/>
      <c r="DK212" s="44"/>
      <c r="DL212" s="44"/>
      <c r="DM212" s="44"/>
      <c r="DN212" s="44"/>
      <c r="DO212" s="44"/>
      <c r="DP212" s="44"/>
      <c r="DQ212" s="44"/>
      <c r="DR212" s="44"/>
      <c r="DS212" s="44"/>
      <c r="DT212" s="44"/>
      <c r="DU212" s="44"/>
      <c r="DV212" s="44"/>
      <c r="DW212" s="44"/>
      <c r="DX212" s="44"/>
      <c r="DY212" s="44"/>
      <c r="DZ212" s="44"/>
      <c r="EA212" s="44"/>
      <c r="EB212" s="44"/>
      <c r="EC212" s="44"/>
      <c r="ED212" s="44"/>
      <c r="EE212" s="44"/>
      <c r="EF212" s="44"/>
      <c r="EG212" s="44"/>
    </row>
    <row r="213" spans="1:137" ht="16.5" customHeight="1">
      <c r="A213" s="14"/>
      <c r="B213" s="44"/>
      <c r="C213" s="44"/>
      <c r="D213" s="44"/>
      <c r="E213" s="44"/>
      <c r="F213" s="44"/>
      <c r="G213" s="44"/>
      <c r="H213" s="44"/>
      <c r="I213" s="44"/>
      <c r="J213" s="44"/>
      <c r="K213" s="44"/>
      <c r="L213" s="44"/>
      <c r="M213" s="44"/>
      <c r="N213" s="44"/>
      <c r="O213" s="44"/>
      <c r="P213" s="44"/>
      <c r="Q213" s="44"/>
      <c r="R213" s="44"/>
      <c r="S213" s="97"/>
      <c r="AP213" s="3" t="b">
        <f>IF(AND(V5=2,R48=3),TRUE,FALSE)</f>
        <v>0</v>
      </c>
      <c r="AQ213" s="3" t="b">
        <f>IF(BU216="",FALSE,TRUE)</f>
        <v>0</v>
      </c>
      <c r="AR213" s="3" t="b">
        <f>IF(BQ204=TRUE,FALSE,AND($AP$214,AQ213))</f>
        <v>0</v>
      </c>
      <c r="AS213" s="3" t="b">
        <f>AND($AP$213,AQ213)</f>
        <v>0</v>
      </c>
      <c r="AT213" s="3" t="b">
        <f>AND($AP$212,AQ213)</f>
        <v>0</v>
      </c>
      <c r="AV213" s="11"/>
      <c r="BT213" s="4"/>
      <c r="BU213" s="197" t="str">
        <f>AB85</f>
        <v/>
      </c>
      <c r="BV213" s="156" t="str">
        <f>$AC$85</f>
        <v/>
      </c>
      <c r="BW213" s="156"/>
      <c r="BX213" s="156"/>
      <c r="BY213" s="156" t="str">
        <f>IF(BQ208=TRUE,W92,AD85)</f>
        <v/>
      </c>
      <c r="BZ213" s="156"/>
      <c r="CA213" s="197" t="str">
        <f>IF(BQ198=TRUE,"",IF(BQ208=TRUE,"",W92))</f>
        <v/>
      </c>
      <c r="CB213" s="217" t="str">
        <f>IF(BU213="","",IF(O90="","",O90))</f>
        <v/>
      </c>
      <c r="CC213" s="217"/>
      <c r="CD213" s="217"/>
      <c r="CE213" s="45"/>
      <c r="CF213" s="44"/>
      <c r="CG213" s="44"/>
      <c r="CH213" s="44"/>
      <c r="CI213" s="44"/>
      <c r="CJ213" s="44"/>
      <c r="CK213" s="44"/>
      <c r="CL213" s="44"/>
      <c r="CM213" s="44"/>
      <c r="CN213" s="44"/>
      <c r="CO213" s="44"/>
      <c r="CP213" s="44"/>
      <c r="CQ213" s="44"/>
      <c r="CR213" s="44"/>
      <c r="CS213" s="44"/>
      <c r="CT213" s="44"/>
      <c r="CU213" s="44"/>
      <c r="CV213" s="44"/>
      <c r="CW213" s="44"/>
      <c r="CX213" s="44"/>
      <c r="CY213" s="44"/>
      <c r="CZ213" s="44"/>
      <c r="DA213" s="44"/>
      <c r="DB213" s="44"/>
      <c r="DC213" s="44"/>
      <c r="DD213" s="44"/>
      <c r="DE213" s="44"/>
      <c r="DF213" s="44"/>
      <c r="DG213" s="44"/>
      <c r="DH213" s="44"/>
      <c r="DI213" s="44"/>
      <c r="DJ213" s="44"/>
      <c r="DK213" s="44"/>
      <c r="DL213" s="44"/>
      <c r="DM213" s="44"/>
      <c r="DN213" s="44"/>
      <c r="DO213" s="44"/>
      <c r="DP213" s="44"/>
      <c r="DQ213" s="44"/>
      <c r="DR213" s="44"/>
      <c r="DS213" s="44"/>
      <c r="DT213" s="44"/>
      <c r="DU213" s="44"/>
      <c r="DV213" s="44"/>
      <c r="DW213" s="44"/>
      <c r="DX213" s="44"/>
      <c r="DY213" s="44"/>
      <c r="DZ213" s="44"/>
      <c r="EA213" s="44"/>
      <c r="EB213" s="44"/>
      <c r="EC213" s="44"/>
      <c r="ED213" s="44"/>
      <c r="EE213" s="44"/>
      <c r="EF213" s="44"/>
      <c r="EG213" s="44"/>
    </row>
    <row r="214" spans="1:137" ht="24.75" customHeight="1">
      <c r="A214" s="14"/>
      <c r="B214" s="44"/>
      <c r="C214" s="44"/>
      <c r="D214" s="44"/>
      <c r="E214" s="44"/>
      <c r="F214" s="44"/>
      <c r="G214" s="44"/>
      <c r="H214" s="44"/>
      <c r="I214" s="44"/>
      <c r="J214" s="44"/>
      <c r="K214" s="44"/>
      <c r="L214" s="44"/>
      <c r="M214" s="44"/>
      <c r="N214" s="44"/>
      <c r="O214" s="44"/>
      <c r="P214" s="44"/>
      <c r="Q214" s="44"/>
      <c r="R214" s="44"/>
      <c r="S214" s="97"/>
      <c r="AP214" s="3" t="b">
        <f>IF(AND(V5=3,R48=3),TRUE,FALSE)</f>
        <v>0</v>
      </c>
      <c r="AQ214" s="3" t="b">
        <f>IF(BU218="",FALSE,TRUE)</f>
        <v>0</v>
      </c>
      <c r="AR214" s="3" t="b">
        <f>AND($AP$214,AQ214)</f>
        <v>0</v>
      </c>
      <c r="AS214" s="111" t="b">
        <f t="shared" ref="AS214:AS220" si="14">IF($W$59=TRUE,FALSE,AND($AP$213,AQ214))</f>
        <v>0</v>
      </c>
      <c r="AT214" s="3" t="b">
        <f>AND($AP$212,AQ214)</f>
        <v>0</v>
      </c>
      <c r="AV214" s="11" t="b">
        <f t="shared" ref="AV214:AV220" si="15">IF(AND($V$5=2,$R$48=3,$W$59=FALSE,AQ214=TRUE),TRUE,FALSE)</f>
        <v>0</v>
      </c>
      <c r="BT214" s="4"/>
      <c r="BU214" s="197"/>
      <c r="BV214" s="156"/>
      <c r="BW214" s="156"/>
      <c r="BX214" s="156"/>
      <c r="BY214" s="156"/>
      <c r="BZ214" s="156"/>
      <c r="CA214" s="197"/>
      <c r="CB214" s="217"/>
      <c r="CC214" s="217"/>
      <c r="CD214" s="217"/>
      <c r="CE214" s="45"/>
      <c r="CF214" s="44"/>
      <c r="CG214" s="44"/>
      <c r="CH214" s="44"/>
      <c r="CI214" s="44"/>
      <c r="CJ214" s="44"/>
      <c r="CK214" s="44"/>
      <c r="CL214" s="44"/>
      <c r="CM214" s="44"/>
      <c r="CN214" s="44"/>
      <c r="CO214" s="44"/>
      <c r="CP214" s="44"/>
      <c r="CQ214" s="44"/>
      <c r="CR214" s="44"/>
      <c r="CS214" s="44"/>
      <c r="CT214" s="44"/>
      <c r="CU214" s="44"/>
      <c r="CV214" s="44"/>
      <c r="CW214" s="44"/>
      <c r="CX214" s="44"/>
      <c r="CY214" s="44"/>
      <c r="CZ214" s="44"/>
      <c r="DA214" s="44"/>
      <c r="DB214" s="44"/>
      <c r="DC214" s="44"/>
      <c r="DD214" s="44"/>
      <c r="DE214" s="44"/>
      <c r="DF214" s="44"/>
      <c r="DG214" s="44"/>
      <c r="DH214" s="44"/>
      <c r="DI214" s="44"/>
      <c r="DJ214" s="44"/>
      <c r="DK214" s="44"/>
      <c r="DL214" s="44"/>
      <c r="DM214" s="44"/>
      <c r="DN214" s="44"/>
      <c r="DO214" s="44"/>
      <c r="DP214" s="44"/>
      <c r="DQ214" s="44"/>
      <c r="DR214" s="44"/>
      <c r="DS214" s="44"/>
      <c r="DT214" s="44"/>
      <c r="DU214" s="44"/>
      <c r="DV214" s="44"/>
      <c r="DW214" s="44"/>
      <c r="DX214" s="44"/>
      <c r="DY214" s="44"/>
      <c r="DZ214" s="44"/>
      <c r="EA214" s="44"/>
      <c r="EB214" s="44"/>
      <c r="EC214" s="44"/>
      <c r="ED214" s="44"/>
      <c r="EE214" s="44"/>
      <c r="EF214" s="44"/>
      <c r="EG214" s="44"/>
    </row>
    <row r="215" spans="1:137" ht="15" customHeight="1">
      <c r="A215" s="14"/>
      <c r="B215" s="44"/>
      <c r="C215" s="44"/>
      <c r="D215" s="44"/>
      <c r="E215" s="44"/>
      <c r="F215" s="44"/>
      <c r="G215" s="44"/>
      <c r="H215" s="44"/>
      <c r="I215" s="44"/>
      <c r="J215" s="44"/>
      <c r="K215" s="44"/>
      <c r="L215" s="44"/>
      <c r="M215" s="44"/>
      <c r="N215" s="44"/>
      <c r="O215" s="44"/>
      <c r="P215" s="44"/>
      <c r="Q215" s="44"/>
      <c r="R215" s="44"/>
      <c r="S215" s="97"/>
      <c r="AQ215" s="3" t="b">
        <f>IF(BU222="",FALSE,TRUE)</f>
        <v>0</v>
      </c>
      <c r="AR215" s="3" t="b">
        <f t="shared" ref="AR215:AR220" si="16">AND($AP$214,AQ215)</f>
        <v>0</v>
      </c>
      <c r="AS215" s="111" t="b">
        <f t="shared" si="14"/>
        <v>0</v>
      </c>
      <c r="AT215" s="3" t="b">
        <f t="shared" ref="AT215:AT220" si="17">AND($AP$212,AQ215)</f>
        <v>0</v>
      </c>
      <c r="AV215" s="11" t="b">
        <f t="shared" si="15"/>
        <v>0</v>
      </c>
      <c r="BT215" s="4"/>
      <c r="BU215" s="197"/>
      <c r="BV215" s="156"/>
      <c r="BW215" s="156"/>
      <c r="BX215" s="156"/>
      <c r="BY215" s="156"/>
      <c r="BZ215" s="156"/>
      <c r="CA215" s="197"/>
      <c r="CB215" s="217"/>
      <c r="CC215" s="217"/>
      <c r="CD215" s="217"/>
      <c r="CE215" s="45"/>
      <c r="CF215" s="44"/>
      <c r="CG215" s="44"/>
      <c r="CH215" s="44"/>
      <c r="CI215" s="44"/>
      <c r="CJ215" s="44"/>
      <c r="CK215" s="44"/>
      <c r="CL215" s="44"/>
      <c r="CM215" s="44"/>
      <c r="CN215" s="44"/>
      <c r="CO215" s="44"/>
      <c r="CP215" s="44"/>
      <c r="CQ215" s="44"/>
      <c r="CR215" s="44"/>
      <c r="CS215" s="44"/>
      <c r="CT215" s="44"/>
      <c r="CU215" s="44"/>
      <c r="CV215" s="44"/>
      <c r="CW215" s="44"/>
      <c r="CX215" s="44"/>
      <c r="CY215" s="44"/>
      <c r="CZ215" s="44"/>
      <c r="DA215" s="44"/>
      <c r="DB215" s="44"/>
      <c r="DC215" s="44"/>
      <c r="DD215" s="44"/>
      <c r="DE215" s="44"/>
      <c r="DF215" s="44"/>
      <c r="DG215" s="44"/>
      <c r="DH215" s="44"/>
      <c r="DI215" s="44"/>
      <c r="DJ215" s="44"/>
      <c r="DK215" s="44"/>
      <c r="DL215" s="44"/>
      <c r="DM215" s="44"/>
      <c r="DN215" s="44"/>
      <c r="DO215" s="44"/>
      <c r="DP215" s="44"/>
      <c r="DQ215" s="44"/>
      <c r="DR215" s="44"/>
      <c r="DS215" s="44"/>
      <c r="DT215" s="44"/>
      <c r="DU215" s="44"/>
      <c r="DV215" s="44"/>
      <c r="DW215" s="44"/>
      <c r="DX215" s="44"/>
      <c r="DY215" s="44"/>
      <c r="DZ215" s="44"/>
      <c r="EA215" s="44"/>
      <c r="EB215" s="44"/>
      <c r="EC215" s="44"/>
      <c r="ED215" s="44"/>
      <c r="EE215" s="44"/>
      <c r="EF215" s="44"/>
      <c r="EG215" s="44"/>
    </row>
    <row r="216" spans="1:137" ht="29.25" customHeight="1">
      <c r="A216" s="14"/>
      <c r="B216" s="44"/>
      <c r="C216" s="44"/>
      <c r="D216" s="44"/>
      <c r="E216" s="44"/>
      <c r="F216" s="44"/>
      <c r="G216" s="44"/>
      <c r="H216" s="44"/>
      <c r="I216" s="44"/>
      <c r="J216" s="44"/>
      <c r="K216" s="44"/>
      <c r="L216" s="44"/>
      <c r="M216" s="44"/>
      <c r="N216" s="44"/>
      <c r="O216" s="44"/>
      <c r="P216" s="44"/>
      <c r="Q216" s="44"/>
      <c r="R216" s="44"/>
      <c r="S216" s="97"/>
      <c r="AQ216" s="3" t="b">
        <f>IF(BU224="",FALSE,TRUE)</f>
        <v>0</v>
      </c>
      <c r="AR216" s="3" t="b">
        <f t="shared" si="16"/>
        <v>0</v>
      </c>
      <c r="AS216" s="111" t="b">
        <f t="shared" si="14"/>
        <v>0</v>
      </c>
      <c r="AT216" s="3" t="b">
        <f t="shared" si="17"/>
        <v>0</v>
      </c>
      <c r="AV216" s="11" t="b">
        <f t="shared" si="15"/>
        <v>0</v>
      </c>
      <c r="BT216" s="4"/>
      <c r="BU216" s="157" t="str">
        <f>IF($W$59=TRUE,"Type:",AF85)</f>
        <v/>
      </c>
      <c r="BV216" s="156" t="str">
        <f>IF(W59=TRUE,"Handelsnavn (Vannbasert/Løsemiddelbasert):",$AG$85)</f>
        <v/>
      </c>
      <c r="BW216" s="156"/>
      <c r="BX216" s="156"/>
      <c r="BY216" s="156" t="str">
        <f>IF(W59=TRUE,"VOC-emisjoner 
etter 3 døgn:",IF(BQ208=TRUE,W102,AH85))</f>
        <v/>
      </c>
      <c r="BZ216" s="156"/>
      <c r="CA216" s="157" t="str">
        <f>IF(W59=TRUE,"VOC-innhold:",IF(BQ208=TRUE,"",W102))</f>
        <v/>
      </c>
      <c r="CB216" s="156" t="str">
        <f>IF(W59=TRUE,"Svanemerket 
eller EU-blomst:",IF(BU216="","",IF(O97="","",O97)))</f>
        <v/>
      </c>
      <c r="CC216" s="156"/>
      <c r="CD216" s="156"/>
      <c r="CE216" s="45"/>
      <c r="CF216" s="44"/>
      <c r="CG216" s="44"/>
      <c r="CH216" s="44"/>
      <c r="CI216" s="44"/>
      <c r="CJ216" s="44"/>
      <c r="CK216" s="44"/>
      <c r="CL216" s="44"/>
      <c r="CM216" s="44"/>
      <c r="CN216" s="44"/>
      <c r="CO216" s="44"/>
      <c r="CP216" s="44"/>
      <c r="CQ216" s="44"/>
      <c r="CR216" s="44"/>
      <c r="CS216" s="44"/>
      <c r="CT216" s="44"/>
      <c r="CU216" s="44"/>
      <c r="CV216" s="44"/>
      <c r="CW216" s="44"/>
      <c r="CX216" s="44"/>
      <c r="CY216" s="44"/>
      <c r="CZ216" s="44"/>
      <c r="DA216" s="44"/>
      <c r="DB216" s="44"/>
      <c r="DC216" s="44"/>
      <c r="DD216" s="44"/>
      <c r="DE216" s="44"/>
      <c r="DF216" s="44"/>
      <c r="DG216" s="44"/>
      <c r="DH216" s="44"/>
      <c r="DI216" s="44"/>
      <c r="DJ216" s="44"/>
      <c r="DK216" s="44"/>
      <c r="DL216" s="44"/>
      <c r="DM216" s="44"/>
      <c r="DN216" s="44"/>
      <c r="DO216" s="44"/>
      <c r="DP216" s="44"/>
      <c r="DQ216" s="44"/>
      <c r="DR216" s="44"/>
      <c r="DS216" s="44"/>
      <c r="DT216" s="44"/>
      <c r="DU216" s="44"/>
      <c r="DV216" s="44"/>
      <c r="DW216" s="44"/>
      <c r="DX216" s="44"/>
      <c r="DY216" s="44"/>
      <c r="DZ216" s="44"/>
      <c r="EA216" s="44"/>
      <c r="EB216" s="44"/>
      <c r="EC216" s="44"/>
      <c r="ED216" s="44"/>
      <c r="EE216" s="44"/>
      <c r="EF216" s="44"/>
      <c r="EG216" s="44"/>
    </row>
    <row r="217" spans="1:137" ht="36.75" customHeight="1">
      <c r="A217" s="14"/>
      <c r="B217" s="44"/>
      <c r="C217" s="44"/>
      <c r="D217" s="44"/>
      <c r="E217" s="44"/>
      <c r="F217" s="44"/>
      <c r="G217" s="44"/>
      <c r="H217" s="44"/>
      <c r="I217" s="44"/>
      <c r="J217" s="44"/>
      <c r="K217" s="44"/>
      <c r="L217" s="44"/>
      <c r="M217" s="44"/>
      <c r="N217" s="44"/>
      <c r="O217" s="44"/>
      <c r="P217" s="44"/>
      <c r="Q217" s="44"/>
      <c r="R217" s="44"/>
      <c r="S217" s="97"/>
      <c r="AQ217" s="3" t="b">
        <f>IF(BU226="",FALSE,TRUE)</f>
        <v>0</v>
      </c>
      <c r="AR217" s="3" t="b">
        <f t="shared" si="16"/>
        <v>0</v>
      </c>
      <c r="AS217" s="111" t="b">
        <f t="shared" si="14"/>
        <v>0</v>
      </c>
      <c r="AT217" s="3" t="b">
        <f t="shared" si="17"/>
        <v>0</v>
      </c>
      <c r="AV217" s="11" t="b">
        <f t="shared" si="15"/>
        <v>0</v>
      </c>
      <c r="BT217" s="4"/>
      <c r="BU217" s="157"/>
      <c r="BV217" s="156"/>
      <c r="BW217" s="156"/>
      <c r="BX217" s="156"/>
      <c r="BY217" s="156"/>
      <c r="BZ217" s="156"/>
      <c r="CA217" s="157"/>
      <c r="CB217" s="156"/>
      <c r="CC217" s="156"/>
      <c r="CD217" s="156"/>
      <c r="CE217" s="45"/>
      <c r="CF217" s="44"/>
      <c r="CG217" s="44"/>
      <c r="CH217" s="44"/>
      <c r="CI217" s="44"/>
      <c r="CJ217" s="44"/>
      <c r="CK217" s="44"/>
      <c r="CL217" s="44"/>
      <c r="CM217" s="44"/>
      <c r="CN217" s="44"/>
      <c r="CO217" s="44"/>
      <c r="CP217" s="44"/>
      <c r="CQ217" s="44"/>
      <c r="CR217" s="44"/>
      <c r="CS217" s="44"/>
      <c r="CT217" s="44"/>
      <c r="CU217" s="44"/>
      <c r="CV217" s="44"/>
      <c r="CW217" s="44"/>
      <c r="CX217" s="44"/>
      <c r="CY217" s="44"/>
      <c r="CZ217" s="44"/>
      <c r="DA217" s="44"/>
      <c r="DB217" s="44"/>
      <c r="DC217" s="44"/>
      <c r="DD217" s="44"/>
      <c r="DE217" s="44"/>
      <c r="DF217" s="44"/>
      <c r="DG217" s="44"/>
      <c r="DH217" s="44"/>
      <c r="DI217" s="44"/>
      <c r="DJ217" s="44"/>
      <c r="DK217" s="44"/>
      <c r="DL217" s="44"/>
      <c r="DM217" s="44"/>
      <c r="DN217" s="44"/>
      <c r="DO217" s="44"/>
      <c r="DP217" s="44"/>
      <c r="DQ217" s="44"/>
      <c r="DR217" s="44"/>
      <c r="DS217" s="44"/>
      <c r="DT217" s="44"/>
      <c r="DU217" s="44"/>
      <c r="DV217" s="44"/>
      <c r="DW217" s="44"/>
      <c r="DX217" s="44"/>
      <c r="DY217" s="44"/>
      <c r="DZ217" s="44"/>
      <c r="EA217" s="44"/>
      <c r="EB217" s="44"/>
      <c r="EC217" s="44"/>
      <c r="ED217" s="44"/>
      <c r="EE217" s="44"/>
      <c r="EF217" s="44"/>
      <c r="EG217" s="44"/>
    </row>
    <row r="218" spans="1:137" ht="15" customHeight="1">
      <c r="A218" s="14"/>
      <c r="B218" s="44"/>
      <c r="C218" s="44"/>
      <c r="D218" s="44"/>
      <c r="E218" s="44"/>
      <c r="F218" s="44"/>
      <c r="G218" s="44"/>
      <c r="H218" s="44"/>
      <c r="I218" s="44"/>
      <c r="J218" s="44"/>
      <c r="K218" s="44"/>
      <c r="L218" s="44"/>
      <c r="M218" s="44"/>
      <c r="N218" s="44"/>
      <c r="O218" s="44"/>
      <c r="P218" s="44"/>
      <c r="Q218" s="44"/>
      <c r="R218" s="44"/>
      <c r="S218" s="97"/>
      <c r="AQ218" s="3" t="b">
        <f>IF(BU229="",FALSE,TRUE)</f>
        <v>0</v>
      </c>
      <c r="AR218" s="3" t="b">
        <f t="shared" si="16"/>
        <v>0</v>
      </c>
      <c r="AS218" s="111" t="b">
        <f t="shared" si="14"/>
        <v>0</v>
      </c>
      <c r="AT218" s="3" t="b">
        <f t="shared" si="17"/>
        <v>0</v>
      </c>
      <c r="AV218" s="11" t="b">
        <f t="shared" si="15"/>
        <v>0</v>
      </c>
      <c r="BU218" s="157" t="str">
        <f>IF(BE220=TRUE,AP184,C104)</f>
        <v/>
      </c>
      <c r="BV218" s="156" t="str">
        <f>IF(BJ220=TRUE,AQ184,AL85)</f>
        <v/>
      </c>
      <c r="BW218" s="156"/>
      <c r="BX218" s="156"/>
      <c r="BY218" s="156" t="str">
        <f>IF($W$59=TRUE,AS184,IF(BQ208=TRUE,W108,AM85))</f>
        <v/>
      </c>
      <c r="BZ218" s="156"/>
      <c r="CA218" s="157" t="str">
        <f>IF(BO220=TRUE,AT184,IF(BQ208=TRUE,"",W108))</f>
        <v/>
      </c>
      <c r="CB218" s="156" t="str">
        <f>IF(BS220=TRUE,AU184,IF(BU218="","",IF(O104="","",O104)))</f>
        <v/>
      </c>
      <c r="CC218" s="156"/>
      <c r="CD218" s="156"/>
      <c r="CE218" s="45"/>
      <c r="CF218" s="44"/>
      <c r="CG218" s="44"/>
      <c r="CH218" s="44"/>
      <c r="CI218" s="44"/>
      <c r="CJ218" s="44"/>
      <c r="CK218" s="44"/>
      <c r="CL218" s="44"/>
      <c r="CM218" s="44"/>
      <c r="CN218" s="44"/>
      <c r="CO218" s="44"/>
      <c r="CP218" s="44"/>
      <c r="CQ218" s="44"/>
      <c r="CR218" s="44"/>
      <c r="CS218" s="44"/>
      <c r="CT218" s="44"/>
      <c r="CU218" s="44"/>
      <c r="CV218" s="44"/>
      <c r="CW218" s="44"/>
      <c r="CX218" s="44"/>
      <c r="CY218" s="44"/>
      <c r="CZ218" s="44"/>
      <c r="DA218" s="44"/>
      <c r="DB218" s="44"/>
      <c r="DC218" s="44"/>
      <c r="DD218" s="44"/>
      <c r="DE218" s="44"/>
      <c r="DF218" s="44"/>
      <c r="DG218" s="44"/>
      <c r="DH218" s="44"/>
      <c r="DI218" s="44"/>
      <c r="DJ218" s="44"/>
      <c r="DK218" s="44"/>
      <c r="DL218" s="44"/>
      <c r="DM218" s="44"/>
      <c r="DN218" s="44"/>
      <c r="DO218" s="44"/>
      <c r="DP218" s="44"/>
      <c r="DQ218" s="44"/>
      <c r="DR218" s="44"/>
      <c r="DS218" s="44"/>
      <c r="DT218" s="44"/>
      <c r="DU218" s="44"/>
      <c r="DV218" s="44"/>
      <c r="DW218" s="44"/>
      <c r="DX218" s="44"/>
      <c r="DY218" s="44"/>
      <c r="DZ218" s="44"/>
      <c r="EA218" s="44"/>
      <c r="EB218" s="44"/>
      <c r="EC218" s="44"/>
      <c r="ED218" s="44"/>
      <c r="EE218" s="44"/>
      <c r="EF218" s="44"/>
      <c r="EG218" s="44"/>
    </row>
    <row r="219" spans="1:137">
      <c r="A219" s="14"/>
      <c r="B219" s="44"/>
      <c r="C219" s="44"/>
      <c r="D219" s="44"/>
      <c r="E219" s="44"/>
      <c r="F219" s="44"/>
      <c r="G219" s="44"/>
      <c r="H219" s="44"/>
      <c r="I219" s="44"/>
      <c r="J219" s="44"/>
      <c r="K219" s="44"/>
      <c r="L219" s="44"/>
      <c r="M219" s="44"/>
      <c r="N219" s="44"/>
      <c r="O219" s="44"/>
      <c r="P219" s="44"/>
      <c r="Q219" s="44"/>
      <c r="R219" s="44"/>
      <c r="S219" s="97"/>
      <c r="AQ219" s="3" t="b">
        <f>IF(BU231="",FALSE,TRUE)</f>
        <v>0</v>
      </c>
      <c r="AR219" s="3" t="b">
        <f t="shared" si="16"/>
        <v>0</v>
      </c>
      <c r="AS219" s="111" t="b">
        <f t="shared" si="14"/>
        <v>0</v>
      </c>
      <c r="AT219" s="3" t="b">
        <f t="shared" si="17"/>
        <v>0</v>
      </c>
      <c r="AU219" s="11"/>
      <c r="AV219" s="11" t="b">
        <f t="shared" si="15"/>
        <v>0</v>
      </c>
      <c r="AW219" s="11"/>
      <c r="BU219" s="157"/>
      <c r="BV219" s="156"/>
      <c r="BW219" s="156"/>
      <c r="BX219" s="156"/>
      <c r="BY219" s="156"/>
      <c r="BZ219" s="156"/>
      <c r="CA219" s="157"/>
      <c r="CB219" s="156"/>
      <c r="CC219" s="156"/>
      <c r="CD219" s="156"/>
      <c r="CE219" s="45"/>
      <c r="CF219" s="44"/>
      <c r="CG219" s="44"/>
      <c r="CH219" s="44"/>
      <c r="CI219" s="44"/>
      <c r="CJ219" s="44"/>
      <c r="CK219" s="44"/>
      <c r="CL219" s="44"/>
      <c r="CM219" s="44"/>
      <c r="CN219" s="44"/>
      <c r="CO219" s="44"/>
      <c r="CP219" s="44"/>
      <c r="CQ219" s="44"/>
      <c r="CR219" s="44"/>
      <c r="CS219" s="44"/>
      <c r="CT219" s="44"/>
      <c r="CU219" s="44"/>
      <c r="CV219" s="44"/>
      <c r="CW219" s="44"/>
      <c r="CX219" s="44"/>
      <c r="CY219" s="44"/>
      <c r="CZ219" s="44"/>
      <c r="DA219" s="44"/>
      <c r="DB219" s="44"/>
      <c r="DC219" s="44"/>
      <c r="DD219" s="44"/>
      <c r="DE219" s="44"/>
      <c r="DF219" s="44"/>
      <c r="DG219" s="44"/>
      <c r="DH219" s="44"/>
      <c r="DI219" s="44"/>
      <c r="DJ219" s="44"/>
      <c r="DK219" s="44"/>
      <c r="DL219" s="44"/>
      <c r="DM219" s="44"/>
      <c r="DN219" s="44"/>
      <c r="DO219" s="44"/>
      <c r="DP219" s="44"/>
      <c r="DQ219" s="44"/>
      <c r="DR219" s="44"/>
      <c r="DS219" s="44"/>
      <c r="DT219" s="44"/>
      <c r="DU219" s="44"/>
      <c r="DV219" s="44"/>
      <c r="DW219" s="44"/>
      <c r="DX219" s="44"/>
      <c r="DY219" s="44"/>
      <c r="DZ219" s="44"/>
      <c r="EA219" s="44"/>
      <c r="EB219" s="44"/>
      <c r="EC219" s="44"/>
      <c r="ED219" s="44"/>
      <c r="EE219" s="44"/>
      <c r="EF219" s="44"/>
      <c r="EG219" s="44"/>
    </row>
    <row r="220" spans="1:137">
      <c r="A220" s="14"/>
      <c r="B220" s="44"/>
      <c r="C220" s="44"/>
      <c r="D220" s="44"/>
      <c r="E220" s="44"/>
      <c r="F220" s="44"/>
      <c r="G220" s="44"/>
      <c r="H220" s="44"/>
      <c r="I220" s="44"/>
      <c r="J220" s="44"/>
      <c r="K220" s="44"/>
      <c r="L220" s="44"/>
      <c r="M220" s="44"/>
      <c r="N220" s="44"/>
      <c r="O220" s="44"/>
      <c r="P220" s="44"/>
      <c r="Q220" s="44"/>
      <c r="R220" s="44"/>
      <c r="S220" s="97"/>
      <c r="AQ220" s="3" t="b">
        <f>IF(BU233="",FALSE,TRUE)</f>
        <v>0</v>
      </c>
      <c r="AR220" s="3" t="b">
        <f t="shared" si="16"/>
        <v>0</v>
      </c>
      <c r="AS220" s="111" t="b">
        <f t="shared" si="14"/>
        <v>0</v>
      </c>
      <c r="AT220" s="3" t="b">
        <f t="shared" si="17"/>
        <v>0</v>
      </c>
      <c r="AU220" s="11"/>
      <c r="AV220" s="11" t="b">
        <f t="shared" si="15"/>
        <v>0</v>
      </c>
      <c r="AW220" s="11"/>
      <c r="BB220" s="3" t="b">
        <f>IF(E170="",FALSE,TRUE)</f>
        <v>0</v>
      </c>
      <c r="BC220" s="3" t="b">
        <f>IF($W$59=TRUE,TRUE)</f>
        <v>0</v>
      </c>
      <c r="BE220" s="12" t="b">
        <f>AND(BB220:BC220)</f>
        <v>0</v>
      </c>
      <c r="BG220" s="3" t="b">
        <f>IF(C170="",FALSE,TRUE)</f>
        <v>0</v>
      </c>
      <c r="BI220" s="3" t="b">
        <f>IF($W$59=TRUE,TRUE)</f>
        <v>0</v>
      </c>
      <c r="BJ220" s="12" t="b">
        <f>AND(BG220:BI220)</f>
        <v>0</v>
      </c>
      <c r="BM220" s="3" t="b">
        <f>IF(AT184="",FALSE,TRUE)</f>
        <v>1</v>
      </c>
      <c r="BN220" s="3" t="b">
        <f>IF($W$59=TRUE,TRUE)</f>
        <v>0</v>
      </c>
      <c r="BO220" s="12" t="b">
        <f>AND(BM220:BN220)</f>
        <v>0</v>
      </c>
      <c r="BQ220" s="3" t="b">
        <f>IF(L170="",FALSE,TRUE)</f>
        <v>0</v>
      </c>
      <c r="BR220" s="3" t="b">
        <f>IF($W$59=TRUE,TRUE)</f>
        <v>0</v>
      </c>
      <c r="BS220" s="12" t="b">
        <f>AND(BQ220:BR220)</f>
        <v>0</v>
      </c>
      <c r="BU220" s="157"/>
      <c r="BV220" s="156"/>
      <c r="BW220" s="156"/>
      <c r="BX220" s="156"/>
      <c r="BY220" s="156"/>
      <c r="BZ220" s="156"/>
      <c r="CA220" s="157"/>
      <c r="CB220" s="156"/>
      <c r="CC220" s="156"/>
      <c r="CD220" s="156"/>
      <c r="CE220" s="45"/>
      <c r="CF220" s="44"/>
      <c r="CG220" s="44"/>
      <c r="CH220" s="44"/>
      <c r="CI220" s="44"/>
      <c r="CJ220" s="44"/>
      <c r="CK220" s="44"/>
      <c r="CL220" s="44"/>
      <c r="CM220" s="44"/>
      <c r="CN220" s="44"/>
      <c r="CO220" s="44"/>
      <c r="CP220" s="44"/>
      <c r="CQ220" s="44"/>
      <c r="CR220" s="44"/>
      <c r="CS220" s="44"/>
      <c r="CT220" s="44"/>
      <c r="CU220" s="44"/>
      <c r="CV220" s="44"/>
      <c r="CW220" s="44"/>
      <c r="CX220" s="44"/>
      <c r="CY220" s="44"/>
      <c r="CZ220" s="44"/>
      <c r="DA220" s="44"/>
      <c r="DB220" s="44"/>
      <c r="DC220" s="44"/>
      <c r="DD220" s="44"/>
      <c r="DE220" s="44"/>
      <c r="DF220" s="44"/>
      <c r="DG220" s="44"/>
      <c r="DH220" s="44"/>
      <c r="DI220" s="44"/>
      <c r="DJ220" s="44"/>
      <c r="DK220" s="44"/>
      <c r="DL220" s="44"/>
      <c r="DM220" s="44"/>
      <c r="DN220" s="44"/>
      <c r="DO220" s="44"/>
      <c r="DP220" s="44"/>
      <c r="DQ220" s="44"/>
      <c r="DR220" s="44"/>
      <c r="DS220" s="44"/>
      <c r="DT220" s="44"/>
      <c r="DU220" s="44"/>
      <c r="DV220" s="44"/>
      <c r="DW220" s="44"/>
      <c r="DX220" s="44"/>
      <c r="DY220" s="44"/>
      <c r="DZ220" s="44"/>
      <c r="EA220" s="44"/>
      <c r="EB220" s="44"/>
      <c r="EC220" s="44"/>
      <c r="ED220" s="44"/>
      <c r="EE220" s="44"/>
      <c r="EF220" s="44"/>
      <c r="EG220" s="44"/>
    </row>
    <row r="221" spans="1:137" ht="22.5" customHeight="1">
      <c r="A221" s="14"/>
      <c r="B221" s="44"/>
      <c r="C221" s="44"/>
      <c r="D221" s="44"/>
      <c r="E221" s="44"/>
      <c r="F221" s="44"/>
      <c r="G221" s="44"/>
      <c r="H221" s="44"/>
      <c r="I221" s="44"/>
      <c r="J221" s="44"/>
      <c r="K221" s="44"/>
      <c r="L221" s="44"/>
      <c r="M221" s="44"/>
      <c r="N221" s="44"/>
      <c r="O221" s="44"/>
      <c r="P221" s="44"/>
      <c r="Q221" s="44"/>
      <c r="R221" s="44"/>
      <c r="S221" s="97"/>
      <c r="AT221" s="11"/>
      <c r="AU221" s="11"/>
      <c r="AV221" s="11"/>
      <c r="AW221" s="11"/>
      <c r="BU221" s="157"/>
      <c r="BV221" s="156"/>
      <c r="BW221" s="156"/>
      <c r="BX221" s="156"/>
      <c r="BY221" s="156"/>
      <c r="BZ221" s="156"/>
      <c r="CA221" s="157"/>
      <c r="CB221" s="156"/>
      <c r="CC221" s="156"/>
      <c r="CD221" s="156"/>
      <c r="CE221" s="45"/>
      <c r="CF221" s="44"/>
      <c r="CG221" s="44"/>
      <c r="CH221" s="44"/>
      <c r="CI221" s="44"/>
      <c r="CJ221" s="44"/>
      <c r="CK221" s="44"/>
      <c r="CL221" s="44"/>
      <c r="CM221" s="44"/>
      <c r="CN221" s="44"/>
      <c r="CO221" s="44"/>
      <c r="CP221" s="44"/>
      <c r="CQ221" s="44"/>
      <c r="CR221" s="44"/>
      <c r="CS221" s="44"/>
      <c r="CT221" s="44"/>
      <c r="CU221" s="44"/>
      <c r="CV221" s="44"/>
      <c r="CW221" s="44"/>
      <c r="CX221" s="44"/>
      <c r="CY221" s="44"/>
      <c r="CZ221" s="44"/>
      <c r="DA221" s="44"/>
      <c r="DB221" s="44"/>
      <c r="DC221" s="44"/>
      <c r="DD221" s="44"/>
      <c r="DE221" s="44"/>
      <c r="DF221" s="44"/>
      <c r="DG221" s="44"/>
      <c r="DH221" s="44"/>
      <c r="DI221" s="44"/>
      <c r="DJ221" s="44"/>
      <c r="DK221" s="44"/>
      <c r="DL221" s="44"/>
      <c r="DM221" s="44"/>
      <c r="DN221" s="44"/>
      <c r="DO221" s="44"/>
      <c r="DP221" s="44"/>
      <c r="DQ221" s="44"/>
      <c r="DR221" s="44"/>
      <c r="DS221" s="44"/>
      <c r="DT221" s="44"/>
      <c r="DU221" s="44"/>
      <c r="DV221" s="44"/>
      <c r="DW221" s="44"/>
      <c r="DX221" s="44"/>
      <c r="DY221" s="44"/>
      <c r="DZ221" s="44"/>
      <c r="EA221" s="44"/>
      <c r="EB221" s="44"/>
      <c r="EC221" s="44"/>
      <c r="ED221" s="44"/>
      <c r="EE221" s="44"/>
      <c r="EF221" s="44"/>
      <c r="EG221" s="44"/>
    </row>
    <row r="222" spans="1:137">
      <c r="A222" s="14"/>
      <c r="B222" s="44"/>
      <c r="C222" s="44"/>
      <c r="D222" s="44"/>
      <c r="E222" s="44"/>
      <c r="F222" s="44"/>
      <c r="G222" s="44"/>
      <c r="H222" s="44"/>
      <c r="I222" s="44"/>
      <c r="J222" s="44"/>
      <c r="K222" s="44"/>
      <c r="L222" s="44"/>
      <c r="M222" s="44"/>
      <c r="N222" s="44"/>
      <c r="O222" s="44"/>
      <c r="P222" s="44"/>
      <c r="Q222" s="44"/>
      <c r="R222" s="44"/>
      <c r="S222" s="97"/>
      <c r="AS222" s="8"/>
      <c r="AT222" s="11"/>
      <c r="AU222" s="11"/>
      <c r="AV222" s="11"/>
      <c r="AW222" s="11"/>
      <c r="BU222" s="157" t="str">
        <f>IF(BE223=TRUE,E173,C111)</f>
        <v/>
      </c>
      <c r="BV222" s="156" t="str">
        <f>IF(BJ223=TRUE,C173&amp;" ("&amp;AD181&amp;")",AP85)</f>
        <v/>
      </c>
      <c r="BW222" s="156"/>
      <c r="BX222" s="156"/>
      <c r="BY222" s="156" t="str">
        <f>IF($W$59=TRUE,J173&amp;" "&amp;K173,IF(BQ208=TRUE,W112,AQ85))</f>
        <v/>
      </c>
      <c r="BZ222" s="156"/>
      <c r="CA222" s="157" t="str">
        <f>IF(BO223=TRUE,Z181,IF(BQ208=TRUE,"",W112))</f>
        <v/>
      </c>
      <c r="CB222" s="156" t="str">
        <f>IF(BS223=TRUE,L173,IF(BU222="","",IF(O111="","",O111)))</f>
        <v/>
      </c>
      <c r="CC222" s="156"/>
      <c r="CD222" s="156"/>
      <c r="CE222" s="45"/>
      <c r="CF222" s="44"/>
      <c r="CG222" s="44"/>
      <c r="CH222" s="44"/>
      <c r="CI222" s="44"/>
      <c r="CJ222" s="44"/>
      <c r="CK222" s="44"/>
      <c r="CL222" s="44"/>
      <c r="CM222" s="44"/>
      <c r="CN222" s="44"/>
      <c r="CO222" s="44"/>
      <c r="CP222" s="44"/>
      <c r="CQ222" s="44"/>
      <c r="CR222" s="44"/>
      <c r="CS222" s="44"/>
      <c r="CT222" s="44"/>
      <c r="CU222" s="44"/>
      <c r="CV222" s="44"/>
      <c r="CW222" s="44"/>
      <c r="CX222" s="44"/>
      <c r="CY222" s="44"/>
      <c r="CZ222" s="44"/>
      <c r="DA222" s="44"/>
      <c r="DB222" s="44"/>
      <c r="DC222" s="44"/>
      <c r="DD222" s="44"/>
      <c r="DE222" s="44"/>
      <c r="DF222" s="44"/>
      <c r="DG222" s="44"/>
      <c r="DH222" s="44"/>
      <c r="DI222" s="44"/>
      <c r="DJ222" s="44"/>
      <c r="DK222" s="44"/>
      <c r="DL222" s="44"/>
      <c r="DM222" s="44"/>
      <c r="DN222" s="44"/>
      <c r="DO222" s="44"/>
      <c r="DP222" s="44"/>
      <c r="DQ222" s="44"/>
      <c r="DR222" s="44"/>
      <c r="DS222" s="44"/>
      <c r="DT222" s="44"/>
      <c r="DU222" s="44"/>
      <c r="DV222" s="44"/>
      <c r="DW222" s="44"/>
      <c r="DX222" s="44"/>
      <c r="DY222" s="44"/>
      <c r="DZ222" s="44"/>
      <c r="EA222" s="44"/>
      <c r="EB222" s="44"/>
      <c r="EC222" s="44"/>
      <c r="ED222" s="44"/>
      <c r="EE222" s="44"/>
      <c r="EF222" s="44"/>
      <c r="EG222" s="44"/>
    </row>
    <row r="223" spans="1:137" ht="19.5" customHeight="1">
      <c r="A223" s="14"/>
      <c r="B223" s="44"/>
      <c r="C223" s="44"/>
      <c r="D223" s="44"/>
      <c r="E223" s="44"/>
      <c r="F223" s="44"/>
      <c r="G223" s="44"/>
      <c r="H223" s="44"/>
      <c r="I223" s="44"/>
      <c r="J223" s="44"/>
      <c r="K223" s="44"/>
      <c r="L223" s="44"/>
      <c r="M223" s="44"/>
      <c r="N223" s="44"/>
      <c r="O223" s="44"/>
      <c r="P223" s="44"/>
      <c r="Q223" s="44"/>
      <c r="R223" s="44"/>
      <c r="S223" s="97"/>
      <c r="AS223" s="8"/>
      <c r="AT223" s="11"/>
      <c r="AU223" s="11"/>
      <c r="AV223" s="11"/>
      <c r="AW223" s="11"/>
      <c r="BB223" s="3" t="b">
        <f>IF(E173="",FALSE,TRUE)</f>
        <v>0</v>
      </c>
      <c r="BC223" s="3" t="b">
        <f>IF($W$59=TRUE,TRUE)</f>
        <v>0</v>
      </c>
      <c r="BE223" s="12" t="b">
        <f>AND(BB223:BC223)</f>
        <v>0</v>
      </c>
      <c r="BG223" s="3" t="b">
        <f>IF(C173="",FALSE,TRUE)</f>
        <v>0</v>
      </c>
      <c r="BI223" s="3" t="b">
        <f>IF($W$59=TRUE,TRUE)</f>
        <v>0</v>
      </c>
      <c r="BJ223" s="12" t="b">
        <f>AND(BG223:BI223)</f>
        <v>0</v>
      </c>
      <c r="BM223" s="3" t="b">
        <f>IF(AT185="",FALSE,TRUE)</f>
        <v>1</v>
      </c>
      <c r="BN223" s="3" t="b">
        <f>IF($W$59=TRUE,TRUE)</f>
        <v>0</v>
      </c>
      <c r="BO223" s="12" t="b">
        <f>AND(BM223:BN223)</f>
        <v>0</v>
      </c>
      <c r="BQ223" s="3" t="b">
        <f>IF(L173="",FALSE,TRUE)</f>
        <v>0</v>
      </c>
      <c r="BR223" s="3" t="b">
        <f>IF($W$59=TRUE,TRUE)</f>
        <v>0</v>
      </c>
      <c r="BS223" s="12" t="b">
        <f>AND(BQ223:BR223)</f>
        <v>0</v>
      </c>
      <c r="BU223" s="157"/>
      <c r="BV223" s="156"/>
      <c r="BW223" s="156"/>
      <c r="BX223" s="156"/>
      <c r="BY223" s="156"/>
      <c r="BZ223" s="156"/>
      <c r="CA223" s="157"/>
      <c r="CB223" s="156"/>
      <c r="CC223" s="156"/>
      <c r="CD223" s="156"/>
      <c r="CE223" s="45"/>
      <c r="CF223" s="44"/>
      <c r="CG223" s="44"/>
      <c r="CH223" s="44"/>
      <c r="CI223" s="44"/>
      <c r="CJ223" s="44"/>
      <c r="CK223" s="44"/>
      <c r="CL223" s="44"/>
      <c r="CM223" s="44"/>
      <c r="CN223" s="44"/>
      <c r="CO223" s="44"/>
      <c r="CP223" s="44"/>
      <c r="CQ223" s="44"/>
      <c r="CR223" s="44"/>
      <c r="CS223" s="44"/>
      <c r="CT223" s="44"/>
      <c r="CU223" s="44"/>
      <c r="CV223" s="44"/>
      <c r="CW223" s="44"/>
      <c r="CX223" s="44"/>
      <c r="CY223" s="44"/>
      <c r="CZ223" s="44"/>
      <c r="DA223" s="44"/>
      <c r="DB223" s="44"/>
      <c r="DC223" s="44"/>
      <c r="DD223" s="44"/>
      <c r="DE223" s="44"/>
      <c r="DF223" s="44"/>
      <c r="DG223" s="44"/>
      <c r="DH223" s="44"/>
      <c r="DI223" s="44"/>
      <c r="DJ223" s="44"/>
      <c r="DK223" s="44"/>
      <c r="DL223" s="44"/>
      <c r="DM223" s="44"/>
      <c r="DN223" s="44"/>
      <c r="DO223" s="44"/>
      <c r="DP223" s="44"/>
      <c r="DQ223" s="44"/>
      <c r="DR223" s="44"/>
      <c r="DS223" s="44"/>
      <c r="DT223" s="44"/>
      <c r="DU223" s="44"/>
      <c r="DV223" s="44"/>
      <c r="DW223" s="44"/>
      <c r="DX223" s="44"/>
      <c r="DY223" s="44"/>
      <c r="DZ223" s="44"/>
      <c r="EA223" s="44"/>
      <c r="EB223" s="44"/>
      <c r="EC223" s="44"/>
      <c r="ED223" s="44"/>
      <c r="EE223" s="44"/>
      <c r="EF223" s="44"/>
      <c r="EG223" s="44"/>
    </row>
    <row r="224" spans="1:137" ht="21" customHeight="1">
      <c r="A224" s="14"/>
      <c r="B224" s="44"/>
      <c r="C224" s="44"/>
      <c r="D224" s="44"/>
      <c r="E224" s="44"/>
      <c r="F224" s="44"/>
      <c r="G224" s="44"/>
      <c r="H224" s="44"/>
      <c r="I224" s="44"/>
      <c r="J224" s="44"/>
      <c r="K224" s="44"/>
      <c r="L224" s="44"/>
      <c r="M224" s="44"/>
      <c r="N224" s="44"/>
      <c r="O224" s="44"/>
      <c r="P224" s="44"/>
      <c r="Q224" s="44"/>
      <c r="R224" s="44"/>
      <c r="S224" s="97"/>
      <c r="AS224" s="8"/>
      <c r="AT224" s="11"/>
      <c r="AU224" s="11"/>
      <c r="AV224" s="11"/>
      <c r="AW224" s="11"/>
      <c r="BU224" s="157" t="str">
        <f>IF(BE225=TRUE,E174,C118)</f>
        <v/>
      </c>
      <c r="BV224" s="156" t="str">
        <f>IF(BJ225=TRUE,C174&amp;" ("&amp;AD182&amp;")",AT85)</f>
        <v/>
      </c>
      <c r="BW224" s="156"/>
      <c r="BX224" s="156"/>
      <c r="BY224" s="156" t="str">
        <f>IF(S62=TRUE,"-",IF($W$59=TRUE,J174&amp;" "&amp;K174,IF(BQ208=TRUE,W119,AU85)))</f>
        <v/>
      </c>
      <c r="BZ224" s="156"/>
      <c r="CA224" s="157" t="str">
        <f>IF(BO225=TRUE,Z182,IF(BQ208=TRUE,"",W119))</f>
        <v/>
      </c>
      <c r="CB224" s="156" t="str">
        <f>IF(BS225=TRUE,L174,IF(BU224="","",IF(O118="","",O118)))</f>
        <v/>
      </c>
      <c r="CC224" s="156"/>
      <c r="CD224" s="156"/>
      <c r="CE224" s="45"/>
      <c r="CF224" s="44"/>
      <c r="CG224" s="44"/>
      <c r="CH224" s="44"/>
      <c r="CI224" s="44"/>
      <c r="CJ224" s="44"/>
      <c r="CK224" s="44"/>
      <c r="CL224" s="44"/>
      <c r="CM224" s="44"/>
      <c r="CN224" s="44"/>
      <c r="CO224" s="44"/>
      <c r="CP224" s="44"/>
      <c r="CQ224" s="44"/>
      <c r="CR224" s="44"/>
      <c r="CS224" s="44"/>
      <c r="CT224" s="44"/>
      <c r="CU224" s="44"/>
      <c r="CV224" s="44"/>
      <c r="CW224" s="44"/>
      <c r="CX224" s="44"/>
      <c r="CY224" s="44"/>
      <c r="CZ224" s="44"/>
      <c r="DA224" s="44"/>
      <c r="DB224" s="44"/>
      <c r="DC224" s="44"/>
      <c r="DD224" s="44"/>
      <c r="DE224" s="44"/>
      <c r="DF224" s="44"/>
      <c r="DG224" s="44"/>
      <c r="DH224" s="44"/>
      <c r="DI224" s="44"/>
      <c r="DJ224" s="44"/>
      <c r="DK224" s="44"/>
      <c r="DL224" s="44"/>
      <c r="DM224" s="44"/>
      <c r="DN224" s="44"/>
      <c r="DO224" s="44"/>
      <c r="DP224" s="44"/>
      <c r="DQ224" s="44"/>
      <c r="DR224" s="44"/>
      <c r="DS224" s="44"/>
      <c r="DT224" s="44"/>
      <c r="DU224" s="44"/>
      <c r="DV224" s="44"/>
      <c r="DW224" s="44"/>
      <c r="DX224" s="44"/>
      <c r="DY224" s="44"/>
      <c r="DZ224" s="44"/>
      <c r="EA224" s="44"/>
      <c r="EB224" s="44"/>
      <c r="EC224" s="44"/>
      <c r="ED224" s="44"/>
      <c r="EE224" s="44"/>
      <c r="EF224" s="44"/>
      <c r="EG224" s="44"/>
    </row>
    <row r="225" spans="1:137" ht="20.25" customHeight="1">
      <c r="A225" s="14"/>
      <c r="B225" s="44"/>
      <c r="C225" s="44"/>
      <c r="D225" s="44"/>
      <c r="E225" s="44"/>
      <c r="F225" s="44"/>
      <c r="G225" s="44"/>
      <c r="H225" s="44"/>
      <c r="I225" s="44"/>
      <c r="J225" s="44"/>
      <c r="K225" s="44"/>
      <c r="L225" s="44"/>
      <c r="M225" s="44"/>
      <c r="N225" s="44"/>
      <c r="O225" s="44"/>
      <c r="P225" s="44"/>
      <c r="Q225" s="44"/>
      <c r="R225" s="44"/>
      <c r="S225" s="97"/>
      <c r="AS225" s="8"/>
      <c r="BB225" s="3" t="b">
        <f>IF(E174="",FALSE,TRUE)</f>
        <v>0</v>
      </c>
      <c r="BC225" s="3" t="b">
        <f>IF($W$59=TRUE,TRUE)</f>
        <v>0</v>
      </c>
      <c r="BE225" s="12" t="b">
        <f>AND(BB225:BC225)</f>
        <v>0</v>
      </c>
      <c r="BG225" s="3" t="b">
        <f>IF(C174="",FALSE,TRUE)</f>
        <v>0</v>
      </c>
      <c r="BI225" s="3" t="b">
        <f>IF($W$59=TRUE,TRUE)</f>
        <v>0</v>
      </c>
      <c r="BJ225" s="12" t="b">
        <f>AND(BG225:BI225)</f>
        <v>0</v>
      </c>
      <c r="BM225" s="3" t="b">
        <f>IF(Z182="",FALSE,TRUE)</f>
        <v>0</v>
      </c>
      <c r="BN225" s="3" t="b">
        <f>IF($W$59=TRUE,TRUE)</f>
        <v>0</v>
      </c>
      <c r="BO225" s="12" t="b">
        <f>AND(BM225:BN225)</f>
        <v>0</v>
      </c>
      <c r="BQ225" s="3" t="b">
        <f>IF(L174="",FALSE,TRUE)</f>
        <v>0</v>
      </c>
      <c r="BR225" s="3" t="b">
        <f>IF($W$59=TRUE,TRUE)</f>
        <v>0</v>
      </c>
      <c r="BS225" s="12" t="b">
        <f>AND(BQ225:BR225)</f>
        <v>0</v>
      </c>
      <c r="BU225" s="157"/>
      <c r="BV225" s="156"/>
      <c r="BW225" s="156"/>
      <c r="BX225" s="156"/>
      <c r="BY225" s="156"/>
      <c r="BZ225" s="156"/>
      <c r="CA225" s="157"/>
      <c r="CB225" s="156"/>
      <c r="CC225" s="156"/>
      <c r="CD225" s="156"/>
      <c r="CE225" s="45"/>
      <c r="CF225" s="44"/>
      <c r="CG225" s="44"/>
      <c r="CH225" s="44"/>
      <c r="CI225" s="44"/>
      <c r="CJ225" s="44"/>
      <c r="CK225" s="44"/>
      <c r="CL225" s="44"/>
      <c r="CM225" s="44"/>
      <c r="CN225" s="44"/>
      <c r="CO225" s="44"/>
      <c r="CP225" s="44"/>
      <c r="CQ225" s="44"/>
      <c r="CR225" s="44"/>
      <c r="CS225" s="44"/>
      <c r="CT225" s="44"/>
      <c r="CU225" s="44"/>
      <c r="CV225" s="44"/>
      <c r="CW225" s="44"/>
      <c r="CX225" s="44"/>
      <c r="CY225" s="44"/>
      <c r="CZ225" s="44"/>
      <c r="DA225" s="44"/>
      <c r="DB225" s="44"/>
      <c r="DC225" s="44"/>
      <c r="DD225" s="44"/>
      <c r="DE225" s="44"/>
      <c r="DF225" s="44"/>
      <c r="DG225" s="44"/>
      <c r="DH225" s="44"/>
      <c r="DI225" s="44"/>
      <c r="DJ225" s="44"/>
      <c r="DK225" s="44"/>
      <c r="DL225" s="44"/>
      <c r="DM225" s="44"/>
      <c r="DN225" s="44"/>
      <c r="DO225" s="44"/>
      <c r="DP225" s="44"/>
      <c r="DQ225" s="44"/>
      <c r="DR225" s="44"/>
      <c r="DS225" s="44"/>
      <c r="DT225" s="44"/>
      <c r="DU225" s="44"/>
      <c r="DV225" s="44"/>
      <c r="DW225" s="44"/>
      <c r="DX225" s="44"/>
      <c r="DY225" s="44"/>
      <c r="DZ225" s="44"/>
      <c r="EA225" s="44"/>
      <c r="EB225" s="44"/>
      <c r="EC225" s="44"/>
      <c r="ED225" s="44"/>
      <c r="EE225" s="44"/>
      <c r="EF225" s="44"/>
      <c r="EG225" s="44"/>
    </row>
    <row r="226" spans="1:137" ht="15" customHeight="1">
      <c r="A226" s="14"/>
      <c r="B226" s="44"/>
      <c r="C226" s="44"/>
      <c r="D226" s="44"/>
      <c r="E226" s="44"/>
      <c r="F226" s="44"/>
      <c r="G226" s="44"/>
      <c r="H226" s="44"/>
      <c r="I226" s="44"/>
      <c r="J226" s="44"/>
      <c r="K226" s="44"/>
      <c r="L226" s="44"/>
      <c r="M226" s="44"/>
      <c r="N226" s="44"/>
      <c r="O226" s="44"/>
      <c r="P226" s="44"/>
      <c r="Q226" s="44"/>
      <c r="R226" s="44"/>
      <c r="S226" s="97"/>
      <c r="BU226" s="157" t="str">
        <f>IF(BE227=TRUE,AP185,C125)</f>
        <v/>
      </c>
      <c r="BV226" s="156" t="str">
        <f>IF(BJ227=TRUE,AQ185,AX85)</f>
        <v/>
      </c>
      <c r="BW226" s="156"/>
      <c r="BX226" s="156"/>
      <c r="BY226" s="156" t="str">
        <f>IF($W$59=TRUE,AS185,IF(BQ208=TRUE,W126,AY85))</f>
        <v/>
      </c>
      <c r="BZ226" s="156"/>
      <c r="CA226" s="157" t="str">
        <f>IF(BO227=TRUE,AT185,IF(BQ208=TRUE,"",W126))</f>
        <v/>
      </c>
      <c r="CB226" s="156" t="str">
        <f>IF(BS227=TRUE,AU185,IF(BU226="","",IF(O125="","",O125)))</f>
        <v/>
      </c>
      <c r="CC226" s="156"/>
      <c r="CD226" s="156"/>
      <c r="CE226" s="45"/>
      <c r="CF226" s="44"/>
      <c r="CG226" s="44"/>
      <c r="CH226" s="44"/>
      <c r="CI226" s="44"/>
      <c r="CJ226" s="44"/>
      <c r="CK226" s="44"/>
      <c r="CL226" s="44"/>
      <c r="CM226" s="44"/>
      <c r="CN226" s="44"/>
      <c r="CO226" s="44"/>
      <c r="CP226" s="44"/>
      <c r="CQ226" s="44"/>
      <c r="CR226" s="44"/>
      <c r="CS226" s="44"/>
      <c r="CT226" s="44"/>
      <c r="CU226" s="44"/>
      <c r="CV226" s="44"/>
      <c r="CW226" s="44"/>
      <c r="CX226" s="44"/>
      <c r="CY226" s="44"/>
      <c r="CZ226" s="44"/>
      <c r="DA226" s="44"/>
      <c r="DB226" s="44"/>
      <c r="DC226" s="44"/>
      <c r="DD226" s="44"/>
      <c r="DE226" s="44"/>
      <c r="DF226" s="44"/>
      <c r="DG226" s="44"/>
      <c r="DH226" s="44"/>
      <c r="DI226" s="44"/>
      <c r="DJ226" s="44"/>
      <c r="DK226" s="44"/>
      <c r="DL226" s="44"/>
      <c r="DM226" s="44"/>
      <c r="DN226" s="44"/>
      <c r="DO226" s="44"/>
      <c r="DP226" s="44"/>
      <c r="DQ226" s="44"/>
      <c r="DR226" s="44"/>
      <c r="DS226" s="44"/>
      <c r="DT226" s="44"/>
      <c r="DU226" s="44"/>
      <c r="DV226" s="44"/>
      <c r="DW226" s="44"/>
      <c r="DX226" s="44"/>
      <c r="DY226" s="44"/>
      <c r="DZ226" s="44"/>
      <c r="EA226" s="44"/>
      <c r="EB226" s="44"/>
      <c r="EC226" s="44"/>
      <c r="ED226" s="44"/>
      <c r="EE226" s="44"/>
      <c r="EF226" s="44"/>
      <c r="EG226" s="44"/>
    </row>
    <row r="227" spans="1:137" ht="16.5" customHeight="1">
      <c r="A227" s="14"/>
      <c r="B227" s="44"/>
      <c r="C227" s="44"/>
      <c r="D227" s="44"/>
      <c r="E227" s="44"/>
      <c r="F227" s="44"/>
      <c r="G227" s="44"/>
      <c r="H227" s="44"/>
      <c r="I227" s="44"/>
      <c r="J227" s="44"/>
      <c r="K227" s="44"/>
      <c r="L227" s="44"/>
      <c r="M227" s="44"/>
      <c r="N227" s="44"/>
      <c r="O227" s="44"/>
      <c r="P227" s="44"/>
      <c r="Q227" s="44"/>
      <c r="R227" s="44"/>
      <c r="S227" s="97"/>
      <c r="AQ227" s="8"/>
      <c r="AR227" s="8"/>
      <c r="BB227" s="3" t="b">
        <f>IF(E175="",FALSE,TRUE)</f>
        <v>0</v>
      </c>
      <c r="BC227" s="3" t="b">
        <f>IF($W$59=TRUE,TRUE)</f>
        <v>0</v>
      </c>
      <c r="BE227" s="12" t="b">
        <f>AND(BB227:BC227)</f>
        <v>0</v>
      </c>
      <c r="BG227" s="3" t="b">
        <f>IF(C175="",FALSE,TRUE)</f>
        <v>0</v>
      </c>
      <c r="BI227" s="3" t="b">
        <f>IF($W$59=TRUE,TRUE)</f>
        <v>0</v>
      </c>
      <c r="BJ227" s="12" t="b">
        <f>AND(BG227:BI227)</f>
        <v>0</v>
      </c>
      <c r="BM227" s="3" t="b">
        <f>IF(Z183="",FALSE,TRUE)</f>
        <v>0</v>
      </c>
      <c r="BN227" s="3" t="b">
        <f>IF($W$59=TRUE,TRUE)</f>
        <v>0</v>
      </c>
      <c r="BO227" s="12" t="b">
        <f>AND(BM227:BN227)</f>
        <v>0</v>
      </c>
      <c r="BQ227" s="3" t="b">
        <f>IF(L175="",FALSE,TRUE)</f>
        <v>0</v>
      </c>
      <c r="BR227" s="3" t="b">
        <f>IF($W$59=TRUE,TRUE)</f>
        <v>0</v>
      </c>
      <c r="BS227" s="12" t="b">
        <f>AND(BQ227:BR227)</f>
        <v>0</v>
      </c>
      <c r="BU227" s="157"/>
      <c r="BV227" s="156"/>
      <c r="BW227" s="156"/>
      <c r="BX227" s="156"/>
      <c r="BY227" s="156"/>
      <c r="BZ227" s="156"/>
      <c r="CA227" s="157"/>
      <c r="CB227" s="156"/>
      <c r="CC227" s="156"/>
      <c r="CD227" s="156"/>
      <c r="CE227" s="45"/>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4"/>
      <c r="DH227" s="44"/>
      <c r="DI227" s="44"/>
      <c r="DJ227" s="44"/>
      <c r="DK227" s="44"/>
      <c r="DL227" s="44"/>
      <c r="DM227" s="44"/>
      <c r="DN227" s="44"/>
      <c r="DO227" s="44"/>
      <c r="DP227" s="44"/>
      <c r="DQ227" s="44"/>
      <c r="DR227" s="44"/>
      <c r="DS227" s="44"/>
      <c r="DT227" s="44"/>
      <c r="DU227" s="44"/>
      <c r="DV227" s="44"/>
      <c r="DW227" s="44"/>
      <c r="DX227" s="44"/>
      <c r="DY227" s="44"/>
      <c r="DZ227" s="44"/>
      <c r="EA227" s="44"/>
      <c r="EB227" s="44"/>
      <c r="EC227" s="44"/>
      <c r="ED227" s="44"/>
      <c r="EE227" s="44"/>
      <c r="EF227" s="44"/>
      <c r="EG227" s="44"/>
    </row>
    <row r="228" spans="1:137" ht="7.5" customHeight="1">
      <c r="A228" s="14"/>
      <c r="B228" s="44"/>
      <c r="C228" s="44"/>
      <c r="D228" s="44"/>
      <c r="E228" s="44"/>
      <c r="F228" s="44"/>
      <c r="G228" s="44"/>
      <c r="H228" s="44"/>
      <c r="I228" s="44"/>
      <c r="J228" s="44"/>
      <c r="K228" s="44"/>
      <c r="L228" s="44"/>
      <c r="M228" s="44"/>
      <c r="N228" s="44"/>
      <c r="O228" s="44"/>
      <c r="P228" s="44"/>
      <c r="Q228" s="44"/>
      <c r="R228" s="44"/>
      <c r="S228" s="97"/>
      <c r="AQ228" s="8"/>
      <c r="AR228" s="8"/>
      <c r="AS228" s="8"/>
      <c r="AT228" s="11"/>
      <c r="AU228" s="11"/>
      <c r="AV228" s="11"/>
      <c r="AW228" s="11"/>
      <c r="BU228" s="157"/>
      <c r="BV228" s="156"/>
      <c r="BW228" s="156"/>
      <c r="BX228" s="156"/>
      <c r="BY228" s="156"/>
      <c r="BZ228" s="156"/>
      <c r="CA228" s="157"/>
      <c r="CB228" s="156"/>
      <c r="CC228" s="156"/>
      <c r="CD228" s="156"/>
      <c r="CE228" s="45"/>
      <c r="CF228" s="44"/>
      <c r="CG228" s="44"/>
      <c r="CH228" s="44"/>
      <c r="CI228" s="44"/>
      <c r="CJ228" s="44"/>
      <c r="CK228" s="44"/>
      <c r="CL228" s="44"/>
      <c r="CM228" s="44"/>
      <c r="CN228" s="44"/>
      <c r="CO228" s="44"/>
      <c r="CP228" s="44"/>
      <c r="CQ228" s="44"/>
      <c r="CR228" s="44"/>
      <c r="CS228" s="44"/>
      <c r="CT228" s="44"/>
      <c r="CU228" s="44"/>
      <c r="CV228" s="44"/>
      <c r="CW228" s="44"/>
      <c r="CX228" s="44"/>
      <c r="CY228" s="44"/>
      <c r="CZ228" s="44"/>
      <c r="DA228" s="44"/>
      <c r="DB228" s="44"/>
      <c r="DC228" s="44"/>
      <c r="DD228" s="44"/>
      <c r="DE228" s="44"/>
      <c r="DF228" s="44"/>
      <c r="DG228" s="44"/>
      <c r="DH228" s="44"/>
      <c r="DI228" s="44"/>
      <c r="DJ228" s="44"/>
      <c r="DK228" s="44"/>
      <c r="DL228" s="44"/>
      <c r="DM228" s="44"/>
      <c r="DN228" s="44"/>
      <c r="DO228" s="44"/>
      <c r="DP228" s="44"/>
      <c r="DQ228" s="44"/>
      <c r="DR228" s="44"/>
      <c r="DS228" s="44"/>
      <c r="DT228" s="44"/>
      <c r="DU228" s="44"/>
      <c r="DV228" s="44"/>
      <c r="DW228" s="44"/>
      <c r="DX228" s="44"/>
      <c r="DY228" s="44"/>
      <c r="DZ228" s="44"/>
      <c r="EA228" s="44"/>
      <c r="EB228" s="44"/>
      <c r="EC228" s="44"/>
      <c r="ED228" s="44"/>
      <c r="EE228" s="44"/>
      <c r="EF228" s="44"/>
      <c r="EG228" s="44"/>
    </row>
    <row r="229" spans="1:137">
      <c r="A229" s="14"/>
      <c r="B229" s="44"/>
      <c r="C229" s="44"/>
      <c r="D229" s="44"/>
      <c r="E229" s="44"/>
      <c r="F229" s="44"/>
      <c r="G229" s="44"/>
      <c r="H229" s="44"/>
      <c r="I229" s="44"/>
      <c r="J229" s="44"/>
      <c r="K229" s="44"/>
      <c r="L229" s="44"/>
      <c r="M229" s="44"/>
      <c r="N229" s="44"/>
      <c r="O229" s="44"/>
      <c r="P229" s="44"/>
      <c r="Q229" s="44"/>
      <c r="R229" s="44"/>
      <c r="S229" s="97"/>
      <c r="AS229" s="8"/>
      <c r="AT229" s="11"/>
      <c r="AU229" s="11"/>
      <c r="AV229" s="11"/>
      <c r="AW229" s="11"/>
      <c r="BU229" s="157" t="str">
        <f>IF(BE230=TRUE,E177,C132)</f>
        <v/>
      </c>
      <c r="BV229" s="156" t="str">
        <f>IF(BJ230=TRUE,C177&amp;" ("&amp;AD185&amp;")",BB85)</f>
        <v/>
      </c>
      <c r="BW229" s="156"/>
      <c r="BX229" s="156"/>
      <c r="BY229" s="156" t="str">
        <f>IF(AC185=FALSE,"",IF($W$59=TRUE,J177&amp;" "&amp;K177,IF(BQ208=TRUE,W133,BC85)))</f>
        <v/>
      </c>
      <c r="BZ229" s="156"/>
      <c r="CA229" s="157" t="str">
        <f>IF(BO230=TRUE,Z185,IF(BQ208=TRUE,"",W133))</f>
        <v/>
      </c>
      <c r="CB229" s="156" t="str">
        <f>IF(BS230=TRUE,L177,IF(BU229="","",IF(O132="","",O132)))</f>
        <v/>
      </c>
      <c r="CC229" s="156"/>
      <c r="CD229" s="156"/>
      <c r="CE229" s="45"/>
      <c r="CF229" s="44"/>
      <c r="CG229" s="44"/>
      <c r="CH229" s="44"/>
      <c r="CI229" s="44"/>
      <c r="CJ229" s="44"/>
      <c r="CK229" s="44"/>
      <c r="CL229" s="44"/>
      <c r="CM229" s="44"/>
      <c r="CN229" s="44"/>
      <c r="CO229" s="44"/>
      <c r="CP229" s="44"/>
      <c r="CQ229" s="44"/>
      <c r="CR229" s="44"/>
      <c r="CS229" s="44"/>
      <c r="CT229" s="44"/>
      <c r="CU229" s="44"/>
      <c r="CV229" s="44"/>
      <c r="CW229" s="44"/>
      <c r="CX229" s="44"/>
      <c r="CY229" s="44"/>
      <c r="CZ229" s="44"/>
      <c r="DA229" s="44"/>
      <c r="DB229" s="44"/>
      <c r="DC229" s="44"/>
      <c r="DD229" s="44"/>
      <c r="DE229" s="44"/>
      <c r="DF229" s="44"/>
      <c r="DG229" s="44"/>
      <c r="DH229" s="44"/>
      <c r="DI229" s="44"/>
      <c r="DJ229" s="44"/>
      <c r="DK229" s="44"/>
      <c r="DL229" s="44"/>
      <c r="DM229" s="44"/>
      <c r="DN229" s="44"/>
      <c r="DO229" s="44"/>
      <c r="DP229" s="44"/>
      <c r="DQ229" s="44"/>
      <c r="DR229" s="44"/>
      <c r="DS229" s="44"/>
      <c r="DT229" s="44"/>
      <c r="DU229" s="44"/>
      <c r="DV229" s="44"/>
      <c r="DW229" s="44"/>
      <c r="DX229" s="44"/>
      <c r="DY229" s="44"/>
      <c r="DZ229" s="44"/>
      <c r="EA229" s="44"/>
      <c r="EB229" s="44"/>
      <c r="EC229" s="44"/>
      <c r="ED229" s="44"/>
      <c r="EE229" s="44"/>
      <c r="EF229" s="44"/>
      <c r="EG229" s="44"/>
    </row>
    <row r="230" spans="1:137" ht="33.75" customHeight="1">
      <c r="A230" s="14"/>
      <c r="B230" s="44"/>
      <c r="C230" s="44"/>
      <c r="D230" s="44"/>
      <c r="E230" s="44"/>
      <c r="F230" s="44"/>
      <c r="G230" s="44"/>
      <c r="H230" s="44"/>
      <c r="I230" s="44"/>
      <c r="J230" s="44"/>
      <c r="K230" s="44"/>
      <c r="L230" s="44"/>
      <c r="M230" s="44"/>
      <c r="N230" s="44"/>
      <c r="O230" s="44"/>
      <c r="P230" s="44"/>
      <c r="Q230" s="44"/>
      <c r="R230" s="44"/>
      <c r="S230" s="97"/>
      <c r="AS230" s="8"/>
      <c r="AT230" s="11"/>
      <c r="AU230" s="11"/>
      <c r="AV230" s="11"/>
      <c r="AW230" s="11"/>
      <c r="BB230" s="3" t="b">
        <f>IF(E177="",FALSE,TRUE)</f>
        <v>0</v>
      </c>
      <c r="BC230" s="3" t="b">
        <f>IF($W$59=TRUE,TRUE)</f>
        <v>0</v>
      </c>
      <c r="BE230" s="12" t="b">
        <f>AND(BB230:BC230)</f>
        <v>0</v>
      </c>
      <c r="BG230" s="3" t="b">
        <f>IF(C177="",FALSE,TRUE)</f>
        <v>0</v>
      </c>
      <c r="BI230" s="3" t="b">
        <f>IF($W$59=TRUE,TRUE)</f>
        <v>0</v>
      </c>
      <c r="BJ230" s="12" t="b">
        <f>AND(BG230:BI230)</f>
        <v>0</v>
      </c>
      <c r="BM230" s="3" t="b">
        <f>IF(Z185="",FALSE,TRUE)</f>
        <v>0</v>
      </c>
      <c r="BN230" s="3" t="b">
        <f>IF($W$59=TRUE,TRUE)</f>
        <v>0</v>
      </c>
      <c r="BO230" s="12" t="b">
        <f>AND(BM230:BN230)</f>
        <v>0</v>
      </c>
      <c r="BQ230" s="3" t="b">
        <f>IF(L177="",FALSE,TRUE)</f>
        <v>0</v>
      </c>
      <c r="BR230" s="3" t="b">
        <f>IF($W$59=TRUE,TRUE)</f>
        <v>0</v>
      </c>
      <c r="BS230" s="12" t="b">
        <f>AND(BQ230:BR230)</f>
        <v>0</v>
      </c>
      <c r="BU230" s="157"/>
      <c r="BV230" s="156"/>
      <c r="BW230" s="156"/>
      <c r="BX230" s="156"/>
      <c r="BY230" s="156"/>
      <c r="BZ230" s="156"/>
      <c r="CA230" s="157"/>
      <c r="CB230" s="156"/>
      <c r="CC230" s="156"/>
      <c r="CD230" s="156"/>
      <c r="CE230" s="45"/>
      <c r="CF230" s="44"/>
      <c r="CG230" s="44"/>
      <c r="CH230" s="44"/>
      <c r="CI230" s="44"/>
      <c r="CJ230" s="44"/>
      <c r="CK230" s="44"/>
      <c r="CL230" s="44"/>
      <c r="CM230" s="44"/>
      <c r="CN230" s="44"/>
      <c r="CO230" s="44"/>
      <c r="CP230" s="44"/>
      <c r="CQ230" s="44"/>
      <c r="CR230" s="44"/>
      <c r="CS230" s="44"/>
      <c r="CT230" s="44"/>
      <c r="CU230" s="44"/>
      <c r="CV230" s="44"/>
      <c r="CW230" s="44"/>
      <c r="CX230" s="44"/>
      <c r="CY230" s="44"/>
      <c r="CZ230" s="44"/>
      <c r="DA230" s="44"/>
      <c r="DB230" s="44"/>
      <c r="DC230" s="44"/>
      <c r="DD230" s="44"/>
      <c r="DE230" s="44"/>
      <c r="DF230" s="44"/>
      <c r="DG230" s="44"/>
      <c r="DH230" s="44"/>
      <c r="DI230" s="44"/>
      <c r="DJ230" s="44"/>
      <c r="DK230" s="44"/>
      <c r="DL230" s="44"/>
      <c r="DM230" s="44"/>
      <c r="DN230" s="44"/>
      <c r="DO230" s="44"/>
      <c r="DP230" s="44"/>
      <c r="DQ230" s="44"/>
      <c r="DR230" s="44"/>
      <c r="DS230" s="44"/>
      <c r="DT230" s="44"/>
      <c r="DU230" s="44"/>
      <c r="DV230" s="44"/>
      <c r="DW230" s="44"/>
      <c r="DX230" s="44"/>
      <c r="DY230" s="44"/>
      <c r="DZ230" s="44"/>
      <c r="EA230" s="44"/>
      <c r="EB230" s="44"/>
      <c r="EC230" s="44"/>
      <c r="ED230" s="44"/>
      <c r="EE230" s="44"/>
      <c r="EF230" s="44"/>
      <c r="EG230" s="44"/>
    </row>
    <row r="231" spans="1:137" ht="23.25" customHeight="1">
      <c r="A231" s="14"/>
      <c r="B231" s="44"/>
      <c r="C231" s="44"/>
      <c r="D231" s="44"/>
      <c r="E231" s="44"/>
      <c r="F231" s="44"/>
      <c r="G231" s="44"/>
      <c r="H231" s="44"/>
      <c r="I231" s="44"/>
      <c r="J231" s="44"/>
      <c r="K231" s="44"/>
      <c r="L231" s="44"/>
      <c r="M231" s="44"/>
      <c r="N231" s="44"/>
      <c r="O231" s="44"/>
      <c r="P231" s="44"/>
      <c r="Q231" s="44"/>
      <c r="R231" s="44"/>
      <c r="S231" s="97"/>
      <c r="AT231" s="11"/>
      <c r="AU231" s="11"/>
      <c r="AV231" s="11"/>
      <c r="AW231" s="11"/>
      <c r="BU231" s="157" t="str">
        <f>IF(BE232=TRUE,E178,C139)</f>
        <v/>
      </c>
      <c r="BV231" s="156" t="str">
        <f>IF(BJ232=TRUE,C178&amp;" ("&amp;AD186&amp;")",BF85)</f>
        <v/>
      </c>
      <c r="BW231" s="156"/>
      <c r="BX231" s="156"/>
      <c r="BY231" s="156" t="str">
        <f>IF(AC186=FALSE,"",IF($W$59=TRUE,J178&amp;" "&amp;K178,IF(BQ208=TRUE,W142,BG85)))</f>
        <v/>
      </c>
      <c r="BZ231" s="156"/>
      <c r="CA231" s="157" t="str">
        <f>IF(BO232=TRUE,Z186,IF(BQ208=TRUE,"",W142))</f>
        <v/>
      </c>
      <c r="CB231" s="156" t="str">
        <f>IF(BS232=TRUE,L178,IF(BU231="","",IF(O139="","",O139)))</f>
        <v/>
      </c>
      <c r="CC231" s="156"/>
      <c r="CD231" s="156"/>
      <c r="CE231" s="45"/>
      <c r="CF231" s="44"/>
      <c r="CG231" s="44"/>
      <c r="CH231" s="44"/>
      <c r="CI231" s="44"/>
      <c r="CJ231" s="44"/>
      <c r="CK231" s="44"/>
      <c r="CL231" s="44"/>
      <c r="CM231" s="44"/>
      <c r="CN231" s="44"/>
      <c r="CO231" s="44"/>
      <c r="CP231" s="44"/>
      <c r="CQ231" s="44"/>
      <c r="CR231" s="44"/>
      <c r="CS231" s="44"/>
      <c r="CT231" s="44"/>
      <c r="CU231" s="44"/>
      <c r="CV231" s="44"/>
      <c r="CW231" s="44"/>
      <c r="CX231" s="44"/>
      <c r="CY231" s="44"/>
      <c r="CZ231" s="44"/>
      <c r="DA231" s="44"/>
      <c r="DB231" s="44"/>
      <c r="DC231" s="44"/>
      <c r="DD231" s="44"/>
      <c r="DE231" s="44"/>
      <c r="DF231" s="44"/>
      <c r="DG231" s="44"/>
      <c r="DH231" s="44"/>
      <c r="DI231" s="44"/>
      <c r="DJ231" s="44"/>
      <c r="DK231" s="44"/>
      <c r="DL231" s="44"/>
      <c r="DM231" s="44"/>
      <c r="DN231" s="44"/>
      <c r="DO231" s="44"/>
      <c r="DP231" s="44"/>
      <c r="DQ231" s="44"/>
      <c r="DR231" s="44"/>
      <c r="DS231" s="44"/>
      <c r="DT231" s="44"/>
      <c r="DU231" s="44"/>
      <c r="DV231" s="44"/>
      <c r="DW231" s="44"/>
      <c r="DX231" s="44"/>
      <c r="DY231" s="44"/>
      <c r="DZ231" s="44"/>
      <c r="EA231" s="44"/>
      <c r="EB231" s="44"/>
      <c r="EC231" s="44"/>
      <c r="ED231" s="44"/>
      <c r="EE231" s="44"/>
      <c r="EF231" s="44"/>
      <c r="EG231" s="44"/>
    </row>
    <row r="232" spans="1:137" ht="18.75" customHeight="1">
      <c r="A232" s="14"/>
      <c r="B232" s="44"/>
      <c r="C232" s="44"/>
      <c r="D232" s="44"/>
      <c r="E232" s="44"/>
      <c r="F232" s="44"/>
      <c r="G232" s="44"/>
      <c r="H232" s="44"/>
      <c r="I232" s="44"/>
      <c r="J232" s="44"/>
      <c r="K232" s="44"/>
      <c r="L232" s="44"/>
      <c r="M232" s="44"/>
      <c r="N232" s="44"/>
      <c r="O232" s="44"/>
      <c r="P232" s="44"/>
      <c r="Q232" s="44"/>
      <c r="R232" s="44"/>
      <c r="S232" s="97"/>
      <c r="AT232" s="11"/>
      <c r="AW232" s="11"/>
      <c r="BB232" s="3" t="b">
        <f>IF(E178="",FALSE,TRUE)</f>
        <v>0</v>
      </c>
      <c r="BC232" s="3" t="b">
        <f>IF($W$59=TRUE,TRUE)</f>
        <v>0</v>
      </c>
      <c r="BE232" s="12" t="b">
        <f>AND(BB232:BC232)</f>
        <v>0</v>
      </c>
      <c r="BG232" s="3" t="b">
        <f>IF(C178="",FALSE,TRUE)</f>
        <v>0</v>
      </c>
      <c r="BI232" s="3" t="b">
        <f>IF($W$59=TRUE,TRUE)</f>
        <v>0</v>
      </c>
      <c r="BJ232" s="12" t="b">
        <f>AND(BG232:BI232)</f>
        <v>0</v>
      </c>
      <c r="BM232" s="3" t="b">
        <f>IF(Z186="",FALSE,TRUE)</f>
        <v>0</v>
      </c>
      <c r="BN232" s="3" t="b">
        <f>IF($W$59=TRUE,TRUE)</f>
        <v>0</v>
      </c>
      <c r="BO232" s="12" t="b">
        <f>AND(BM232:BN232)</f>
        <v>0</v>
      </c>
      <c r="BQ232" s="3" t="b">
        <f>IF(L178="",FALSE,TRUE)</f>
        <v>0</v>
      </c>
      <c r="BR232" s="3" t="b">
        <f>IF($W$59=TRUE,TRUE)</f>
        <v>0</v>
      </c>
      <c r="BS232" s="12" t="b">
        <f>AND(BQ232:BR232)</f>
        <v>0</v>
      </c>
      <c r="BU232" s="157"/>
      <c r="BV232" s="156"/>
      <c r="BW232" s="156"/>
      <c r="BX232" s="156"/>
      <c r="BY232" s="156"/>
      <c r="BZ232" s="156"/>
      <c r="CA232" s="157"/>
      <c r="CB232" s="156"/>
      <c r="CC232" s="156"/>
      <c r="CD232" s="156"/>
      <c r="CE232" s="45"/>
      <c r="CF232" s="44"/>
      <c r="CG232" s="44"/>
      <c r="CH232" s="44"/>
      <c r="CI232" s="44"/>
      <c r="CJ232" s="44"/>
      <c r="CK232" s="44"/>
      <c r="CL232" s="44"/>
      <c r="CM232" s="44"/>
      <c r="CN232" s="44"/>
      <c r="CO232" s="44"/>
      <c r="CP232" s="44"/>
      <c r="CQ232" s="44"/>
      <c r="CR232" s="44"/>
      <c r="CS232" s="44"/>
      <c r="CT232" s="44"/>
      <c r="CU232" s="44"/>
      <c r="CV232" s="44"/>
      <c r="CW232" s="44"/>
      <c r="CX232" s="44"/>
      <c r="CY232" s="44"/>
      <c r="CZ232" s="44"/>
      <c r="DA232" s="44"/>
      <c r="DB232" s="44"/>
      <c r="DC232" s="44"/>
      <c r="DD232" s="44"/>
      <c r="DE232" s="44"/>
      <c r="DF232" s="44"/>
      <c r="DG232" s="44"/>
      <c r="DH232" s="44"/>
      <c r="DI232" s="44"/>
      <c r="DJ232" s="44"/>
      <c r="DK232" s="44"/>
      <c r="DL232" s="44"/>
      <c r="DM232" s="44"/>
      <c r="DN232" s="44"/>
      <c r="DO232" s="44"/>
      <c r="DP232" s="44"/>
      <c r="DQ232" s="44"/>
      <c r="DR232" s="44"/>
      <c r="DS232" s="44"/>
      <c r="DT232" s="44"/>
      <c r="DU232" s="44"/>
      <c r="DV232" s="44"/>
      <c r="DW232" s="44"/>
      <c r="DX232" s="44"/>
      <c r="DY232" s="44"/>
      <c r="DZ232" s="44"/>
      <c r="EA232" s="44"/>
      <c r="EB232" s="44"/>
      <c r="EC232" s="44"/>
      <c r="ED232" s="44"/>
      <c r="EE232" s="44"/>
      <c r="EF232" s="44"/>
      <c r="EG232" s="44"/>
    </row>
    <row r="233" spans="1:137" ht="12.75" customHeight="1">
      <c r="A233" s="14"/>
      <c r="B233" s="44"/>
      <c r="C233" s="44"/>
      <c r="D233" s="44"/>
      <c r="E233" s="44"/>
      <c r="F233" s="44"/>
      <c r="G233" s="44"/>
      <c r="H233" s="44"/>
      <c r="I233" s="44"/>
      <c r="J233" s="44"/>
      <c r="K233" s="44"/>
      <c r="L233" s="44"/>
      <c r="M233" s="44"/>
      <c r="N233" s="44"/>
      <c r="O233" s="44"/>
      <c r="P233" s="44"/>
      <c r="Q233" s="44"/>
      <c r="R233" s="44"/>
      <c r="S233" s="97"/>
      <c r="AT233" s="11"/>
      <c r="BU233" s="157" t="str">
        <f>IF(BE234=TRUE,E179,C146)</f>
        <v/>
      </c>
      <c r="BV233" s="156" t="str">
        <f>IF(BJ234=TRUE,C179&amp;" ("&amp;AD187&amp;")",BJ85)</f>
        <v/>
      </c>
      <c r="BW233" s="156"/>
      <c r="BX233" s="156"/>
      <c r="BY233" s="156" t="str">
        <f>IF(AC187=FALSE,"",IF($W$59=TRUE,J179&amp;" "&amp;K179,IF(BQ208=TRUE,W150,BK85)))</f>
        <v/>
      </c>
      <c r="BZ233" s="156"/>
      <c r="CA233" s="157" t="str">
        <f>IF(BO234=TRUE,Z187,IF(BQ208=TRUE,"",W150))</f>
        <v/>
      </c>
      <c r="CB233" s="156" t="str">
        <f>IF(BS234=TRUE,L179,IF(BU233="","",IF(O146="","",O146)))</f>
        <v/>
      </c>
      <c r="CC233" s="156"/>
      <c r="CD233" s="156"/>
      <c r="CE233" s="45"/>
      <c r="CF233" s="44"/>
      <c r="CG233" s="44"/>
      <c r="CH233" s="44"/>
      <c r="CI233" s="44"/>
      <c r="CJ233" s="44"/>
      <c r="CK233" s="44"/>
      <c r="CL233" s="44"/>
      <c r="CM233" s="44"/>
      <c r="CN233" s="44"/>
      <c r="CO233" s="44"/>
      <c r="CP233" s="44"/>
      <c r="CQ233" s="44"/>
      <c r="CR233" s="44"/>
      <c r="CS233" s="44"/>
      <c r="CT233" s="44"/>
      <c r="CU233" s="44"/>
      <c r="CV233" s="44"/>
      <c r="CW233" s="44"/>
      <c r="CX233" s="44"/>
      <c r="CY233" s="44"/>
      <c r="CZ233" s="44"/>
      <c r="DA233" s="44"/>
      <c r="DB233" s="44"/>
      <c r="DC233" s="44"/>
      <c r="DD233" s="44"/>
      <c r="DE233" s="44"/>
      <c r="DF233" s="44"/>
      <c r="DG233" s="44"/>
      <c r="DH233" s="44"/>
      <c r="DI233" s="44"/>
      <c r="DJ233" s="44"/>
      <c r="DK233" s="44"/>
      <c r="DL233" s="44"/>
      <c r="DM233" s="44"/>
      <c r="DN233" s="44"/>
      <c r="DO233" s="44"/>
      <c r="DP233" s="44"/>
      <c r="DQ233" s="44"/>
      <c r="DR233" s="44"/>
      <c r="DS233" s="44"/>
      <c r="DT233" s="44"/>
      <c r="DU233" s="44"/>
      <c r="DV233" s="44"/>
      <c r="DW233" s="44"/>
      <c r="DX233" s="44"/>
      <c r="DY233" s="44"/>
      <c r="DZ233" s="44"/>
      <c r="EA233" s="44"/>
      <c r="EB233" s="44"/>
      <c r="EC233" s="44"/>
      <c r="ED233" s="44"/>
      <c r="EE233" s="44"/>
      <c r="EF233" s="44"/>
      <c r="EG233" s="44"/>
    </row>
    <row r="234" spans="1:137" ht="28.5" customHeight="1">
      <c r="A234" s="14"/>
      <c r="B234" s="44"/>
      <c r="C234" s="44"/>
      <c r="D234" s="44"/>
      <c r="E234" s="44"/>
      <c r="F234" s="44"/>
      <c r="G234" s="44"/>
      <c r="H234" s="44"/>
      <c r="I234" s="44"/>
      <c r="J234" s="44"/>
      <c r="K234" s="44"/>
      <c r="L234" s="44"/>
      <c r="M234" s="44"/>
      <c r="N234" s="44"/>
      <c r="O234" s="44"/>
      <c r="P234" s="44"/>
      <c r="Q234" s="44"/>
      <c r="R234" s="44"/>
      <c r="S234" s="97"/>
      <c r="BB234" s="3" t="b">
        <f>IF(E179="",FALSE,TRUE)</f>
        <v>0</v>
      </c>
      <c r="BC234" s="3" t="b">
        <f>IF($W$59=TRUE,TRUE)</f>
        <v>0</v>
      </c>
      <c r="BE234" s="12" t="b">
        <f>AND(BB234:BC234)</f>
        <v>0</v>
      </c>
      <c r="BG234" s="3" t="b">
        <f>IF(C179="",FALSE,TRUE)</f>
        <v>0</v>
      </c>
      <c r="BI234" s="3" t="b">
        <f>IF($W$59=TRUE,TRUE)</f>
        <v>0</v>
      </c>
      <c r="BJ234" s="12" t="b">
        <f>AND(BG234:BI234)</f>
        <v>0</v>
      </c>
      <c r="BM234" s="3" t="b">
        <f>IF(Z187="",FALSE,TRUE)</f>
        <v>0</v>
      </c>
      <c r="BN234" s="3" t="b">
        <f>IF($W$59=TRUE,TRUE)</f>
        <v>0</v>
      </c>
      <c r="BO234" s="12" t="b">
        <f>AND(BM234:BN234)</f>
        <v>0</v>
      </c>
      <c r="BQ234" s="3" t="b">
        <f>IF(L179="",FALSE,TRUE)</f>
        <v>0</v>
      </c>
      <c r="BR234" s="3" t="b">
        <f>IF($W$59=TRUE,TRUE)</f>
        <v>0</v>
      </c>
      <c r="BS234" s="12" t="b">
        <f>AND(BQ234:BR234)</f>
        <v>0</v>
      </c>
      <c r="BU234" s="189"/>
      <c r="BV234" s="188"/>
      <c r="BW234" s="188"/>
      <c r="BX234" s="188"/>
      <c r="BY234" s="188"/>
      <c r="BZ234" s="188"/>
      <c r="CA234" s="189"/>
      <c r="CB234" s="188"/>
      <c r="CC234" s="188"/>
      <c r="CD234" s="188"/>
      <c r="CE234" s="45"/>
      <c r="CF234" s="44"/>
      <c r="CG234" s="44"/>
      <c r="CH234" s="44"/>
      <c r="CI234" s="44"/>
      <c r="CJ234" s="44"/>
      <c r="CK234" s="44"/>
      <c r="CL234" s="44"/>
      <c r="CM234" s="44"/>
      <c r="CN234" s="44"/>
      <c r="CO234" s="44"/>
      <c r="CP234" s="44"/>
      <c r="CQ234" s="44"/>
      <c r="CR234" s="44"/>
      <c r="CS234" s="44"/>
      <c r="CT234" s="44"/>
      <c r="CU234" s="44"/>
      <c r="CV234" s="44"/>
      <c r="CW234" s="44"/>
      <c r="CX234" s="44"/>
      <c r="CY234" s="44"/>
      <c r="CZ234" s="44"/>
      <c r="DA234" s="44"/>
      <c r="DB234" s="44"/>
      <c r="DC234" s="44"/>
      <c r="DD234" s="44"/>
      <c r="DE234" s="44"/>
      <c r="DF234" s="44"/>
      <c r="DG234" s="44"/>
      <c r="DH234" s="44"/>
      <c r="DI234" s="44"/>
      <c r="DJ234" s="44"/>
      <c r="DK234" s="44"/>
      <c r="DL234" s="44"/>
      <c r="DM234" s="44"/>
      <c r="DN234" s="44"/>
      <c r="DO234" s="44"/>
      <c r="DP234" s="44"/>
      <c r="DQ234" s="44"/>
      <c r="DR234" s="44"/>
      <c r="DS234" s="44"/>
      <c r="DT234" s="44"/>
      <c r="DU234" s="44"/>
      <c r="DV234" s="44"/>
      <c r="DW234" s="44"/>
      <c r="DX234" s="44"/>
      <c r="DY234" s="44"/>
      <c r="DZ234" s="44"/>
      <c r="EA234" s="44"/>
      <c r="EB234" s="44"/>
      <c r="EC234" s="44"/>
      <c r="ED234" s="44"/>
      <c r="EE234" s="44"/>
      <c r="EF234" s="44"/>
      <c r="EG234" s="44"/>
    </row>
    <row r="235" spans="1:137" ht="9.75" customHeight="1">
      <c r="A235" s="14"/>
      <c r="B235" s="44"/>
      <c r="C235" s="44"/>
      <c r="D235" s="44"/>
      <c r="E235" s="44"/>
      <c r="F235" s="44"/>
      <c r="G235" s="44"/>
      <c r="H235" s="44"/>
      <c r="I235" s="44"/>
      <c r="J235" s="44"/>
      <c r="K235" s="44"/>
      <c r="L235" s="44"/>
      <c r="M235" s="44"/>
      <c r="N235" s="44"/>
      <c r="O235" s="44"/>
      <c r="P235" s="44"/>
      <c r="Q235" s="44"/>
      <c r="R235" s="44"/>
      <c r="S235" s="97"/>
      <c r="BU235" s="101"/>
      <c r="BV235" s="101"/>
      <c r="BW235" s="101"/>
      <c r="BX235" s="101"/>
      <c r="BY235" s="101"/>
      <c r="BZ235" s="101"/>
      <c r="CA235" s="101"/>
      <c r="CB235" s="101"/>
      <c r="CC235" s="101"/>
      <c r="CD235" s="101"/>
      <c r="CE235" s="45"/>
      <c r="CF235" s="44"/>
      <c r="CG235" s="44"/>
      <c r="CH235" s="44"/>
      <c r="CI235" s="44"/>
      <c r="CJ235" s="44"/>
      <c r="CK235" s="44"/>
      <c r="CL235" s="44"/>
      <c r="CM235" s="44"/>
      <c r="CN235" s="44"/>
      <c r="CO235" s="44"/>
      <c r="CP235" s="44"/>
      <c r="CQ235" s="44"/>
      <c r="CR235" s="44"/>
      <c r="CS235" s="44"/>
      <c r="CT235" s="44"/>
      <c r="CU235" s="44"/>
      <c r="CV235" s="44"/>
      <c r="CW235" s="44"/>
      <c r="CX235" s="44"/>
      <c r="CY235" s="44"/>
      <c r="CZ235" s="44"/>
      <c r="DA235" s="44"/>
      <c r="DB235" s="44"/>
      <c r="DC235" s="44"/>
      <c r="DD235" s="44"/>
      <c r="DE235" s="44"/>
      <c r="DF235" s="44"/>
      <c r="DG235" s="44"/>
      <c r="DH235" s="44"/>
      <c r="DI235" s="44"/>
      <c r="DJ235" s="44"/>
      <c r="DK235" s="44"/>
      <c r="DL235" s="44"/>
      <c r="DM235" s="44"/>
      <c r="DN235" s="44"/>
      <c r="DO235" s="44"/>
      <c r="DP235" s="44"/>
      <c r="DQ235" s="44"/>
      <c r="DR235" s="44"/>
      <c r="DS235" s="44"/>
      <c r="DT235" s="44"/>
      <c r="DU235" s="44"/>
      <c r="DV235" s="44"/>
      <c r="DW235" s="44"/>
      <c r="DX235" s="44"/>
      <c r="DY235" s="44"/>
      <c r="DZ235" s="44"/>
      <c r="EA235" s="44"/>
      <c r="EB235" s="44"/>
      <c r="EC235" s="44"/>
      <c r="ED235" s="44"/>
      <c r="EE235" s="44"/>
      <c r="EF235" s="44"/>
      <c r="EG235" s="44"/>
    </row>
    <row r="236" spans="1:137" ht="12" customHeight="1">
      <c r="A236" s="14"/>
      <c r="B236" s="44"/>
      <c r="C236" s="44"/>
      <c r="D236" s="44"/>
      <c r="E236" s="44"/>
      <c r="F236" s="44"/>
      <c r="G236" s="44"/>
      <c r="H236" s="44"/>
      <c r="I236" s="44"/>
      <c r="J236" s="44"/>
      <c r="K236" s="44"/>
      <c r="L236" s="44"/>
      <c r="M236" s="44"/>
      <c r="N236" s="44"/>
      <c r="O236" s="44"/>
      <c r="P236" s="44"/>
      <c r="Q236" s="44"/>
      <c r="R236" s="44"/>
      <c r="S236" s="97"/>
      <c r="BB236" s="3" t="s">
        <v>48</v>
      </c>
      <c r="BG236" s="3" t="s">
        <v>49</v>
      </c>
      <c r="BM236" s="3" t="s">
        <v>50</v>
      </c>
      <c r="BQ236" s="3" t="s">
        <v>51</v>
      </c>
      <c r="BU236" s="190" t="str">
        <f>IF(U153=FALSE,"",U153)</f>
        <v/>
      </c>
      <c r="BV236" s="190"/>
      <c r="BW236" s="190"/>
      <c r="BX236" s="190"/>
      <c r="BY236" s="190"/>
      <c r="BZ236" s="190"/>
      <c r="CA236" s="190"/>
      <c r="CB236" s="190"/>
      <c r="CC236" s="190"/>
      <c r="CD236" s="190"/>
      <c r="CE236" s="45"/>
      <c r="CF236" s="44"/>
      <c r="CG236" s="44"/>
      <c r="CH236" s="44"/>
      <c r="CI236" s="44"/>
      <c r="CJ236" s="44"/>
      <c r="CK236" s="44"/>
      <c r="CL236" s="44"/>
      <c r="CM236" s="44"/>
      <c r="CN236" s="44"/>
      <c r="CO236" s="44"/>
      <c r="CP236" s="44"/>
      <c r="CQ236" s="44"/>
      <c r="CR236" s="44"/>
      <c r="CS236" s="44"/>
      <c r="CT236" s="44"/>
      <c r="CU236" s="44"/>
      <c r="CV236" s="44"/>
      <c r="CW236" s="44"/>
      <c r="CX236" s="44"/>
      <c r="CY236" s="44"/>
      <c r="CZ236" s="44"/>
      <c r="DA236" s="44"/>
      <c r="DB236" s="44"/>
      <c r="DC236" s="44"/>
      <c r="DD236" s="44"/>
      <c r="DE236" s="44"/>
      <c r="DF236" s="44"/>
      <c r="DG236" s="44"/>
      <c r="DH236" s="44"/>
      <c r="DI236" s="44"/>
      <c r="DJ236" s="44"/>
      <c r="DK236" s="44"/>
      <c r="DL236" s="44"/>
      <c r="DM236" s="44"/>
      <c r="DN236" s="44"/>
      <c r="DO236" s="44"/>
      <c r="DP236" s="44"/>
      <c r="DQ236" s="44"/>
      <c r="DR236" s="44"/>
      <c r="DS236" s="44"/>
      <c r="DT236" s="44"/>
      <c r="DU236" s="44"/>
      <c r="DV236" s="44"/>
      <c r="DW236" s="44"/>
      <c r="DX236" s="44"/>
      <c r="DY236" s="44"/>
      <c r="DZ236" s="44"/>
      <c r="EA236" s="44"/>
      <c r="EB236" s="44"/>
      <c r="EC236" s="44"/>
      <c r="ED236" s="44"/>
      <c r="EE236" s="44"/>
      <c r="EF236" s="44"/>
      <c r="EG236" s="44"/>
    </row>
    <row r="237" spans="1:137" ht="9.75" customHeight="1">
      <c r="A237" s="14"/>
      <c r="B237" s="44"/>
      <c r="C237" s="44"/>
      <c r="D237" s="44"/>
      <c r="E237" s="44"/>
      <c r="F237" s="44"/>
      <c r="G237" s="44"/>
      <c r="H237" s="44"/>
      <c r="I237" s="44"/>
      <c r="J237" s="44"/>
      <c r="K237" s="44"/>
      <c r="L237" s="44"/>
      <c r="M237" s="44"/>
      <c r="N237" s="44"/>
      <c r="O237" s="44"/>
      <c r="P237" s="44"/>
      <c r="Q237" s="44"/>
      <c r="R237" s="44"/>
      <c r="S237" s="97"/>
      <c r="BU237" s="190"/>
      <c r="BV237" s="190"/>
      <c r="BW237" s="190"/>
      <c r="BX237" s="190"/>
      <c r="BY237" s="190"/>
      <c r="BZ237" s="190"/>
      <c r="CA237" s="190"/>
      <c r="CB237" s="190"/>
      <c r="CC237" s="190"/>
      <c r="CD237" s="190"/>
      <c r="CE237" s="45"/>
      <c r="CF237" s="44"/>
      <c r="CG237" s="44"/>
      <c r="CH237" s="44"/>
      <c r="CI237" s="44"/>
      <c r="CJ237" s="44"/>
      <c r="CK237" s="44"/>
      <c r="CL237" s="44"/>
      <c r="CM237" s="44"/>
      <c r="CN237" s="44"/>
      <c r="CO237" s="44"/>
      <c r="CP237" s="44"/>
      <c r="CQ237" s="44"/>
      <c r="CR237" s="44"/>
      <c r="CS237" s="44"/>
      <c r="CT237" s="44"/>
      <c r="CU237" s="44"/>
      <c r="CV237" s="44"/>
      <c r="CW237" s="44"/>
      <c r="CX237" s="44"/>
      <c r="CY237" s="44"/>
      <c r="CZ237" s="44"/>
      <c r="DA237" s="44"/>
      <c r="DB237" s="44"/>
      <c r="DC237" s="44"/>
      <c r="DD237" s="44"/>
      <c r="DE237" s="44"/>
      <c r="DF237" s="44"/>
      <c r="DG237" s="44"/>
      <c r="DH237" s="44"/>
      <c r="DI237" s="44"/>
      <c r="DJ237" s="44"/>
      <c r="DK237" s="44"/>
      <c r="DL237" s="44"/>
      <c r="DM237" s="44"/>
      <c r="DN237" s="44"/>
      <c r="DO237" s="44"/>
      <c r="DP237" s="44"/>
      <c r="DQ237" s="44"/>
      <c r="DR237" s="44"/>
      <c r="DS237" s="44"/>
      <c r="DT237" s="44"/>
      <c r="DU237" s="44"/>
      <c r="DV237" s="44"/>
      <c r="DW237" s="44"/>
      <c r="DX237" s="44"/>
      <c r="DY237" s="44"/>
      <c r="DZ237" s="44"/>
      <c r="EA237" s="44"/>
      <c r="EB237" s="44"/>
      <c r="EC237" s="44"/>
      <c r="ED237" s="44"/>
      <c r="EE237" s="44"/>
      <c r="EF237" s="44"/>
      <c r="EG237" s="44"/>
    </row>
    <row r="238" spans="1:137" ht="15" customHeight="1">
      <c r="A238" s="14"/>
      <c r="B238" s="44"/>
      <c r="C238" s="44"/>
      <c r="D238" s="44"/>
      <c r="E238" s="44"/>
      <c r="F238" s="44"/>
      <c r="G238" s="44"/>
      <c r="H238" s="44"/>
      <c r="I238" s="44"/>
      <c r="J238" s="44"/>
      <c r="K238" s="44"/>
      <c r="L238" s="44"/>
      <c r="M238" s="44"/>
      <c r="N238" s="44"/>
      <c r="O238" s="44"/>
      <c r="P238" s="44"/>
      <c r="Q238" s="44"/>
      <c r="R238" s="44"/>
      <c r="S238" s="97"/>
      <c r="BU238" s="191" t="s">
        <v>27</v>
      </c>
      <c r="BV238" s="191"/>
      <c r="BW238" s="191"/>
      <c r="BX238" s="191"/>
      <c r="BY238" s="191"/>
      <c r="BZ238" s="191"/>
      <c r="CA238" s="191"/>
      <c r="CB238" s="191"/>
      <c r="CC238" s="191"/>
      <c r="CD238" s="18"/>
      <c r="CE238" s="45"/>
      <c r="CF238" s="44"/>
      <c r="CG238" s="44"/>
      <c r="CH238" s="44"/>
      <c r="CI238" s="44"/>
      <c r="CJ238" s="44"/>
      <c r="CK238" s="44"/>
      <c r="CL238" s="44"/>
      <c r="CM238" s="44"/>
      <c r="CN238" s="44"/>
      <c r="CO238" s="44"/>
      <c r="CP238" s="44"/>
      <c r="CQ238" s="44"/>
      <c r="CR238" s="44"/>
      <c r="CS238" s="44"/>
      <c r="CT238" s="44"/>
      <c r="CU238" s="44"/>
      <c r="CV238" s="44"/>
      <c r="CW238" s="44"/>
      <c r="CX238" s="44"/>
      <c r="CY238" s="44"/>
      <c r="CZ238" s="44"/>
      <c r="DA238" s="44"/>
      <c r="DB238" s="44"/>
      <c r="DC238" s="44"/>
      <c r="DD238" s="44"/>
      <c r="DE238" s="44"/>
      <c r="DF238" s="44"/>
      <c r="DG238" s="44"/>
      <c r="DH238" s="44"/>
      <c r="DI238" s="44"/>
      <c r="DJ238" s="44"/>
      <c r="DK238" s="44"/>
      <c r="DL238" s="44"/>
      <c r="DM238" s="44"/>
      <c r="DN238" s="44"/>
      <c r="DO238" s="44"/>
      <c r="DP238" s="44"/>
      <c r="DQ238" s="44"/>
      <c r="DR238" s="44"/>
      <c r="DS238" s="44"/>
      <c r="DT238" s="44"/>
      <c r="DU238" s="44"/>
      <c r="DV238" s="44"/>
      <c r="DW238" s="44"/>
      <c r="DX238" s="44"/>
      <c r="DY238" s="44"/>
      <c r="DZ238" s="44"/>
      <c r="EA238" s="44"/>
      <c r="EB238" s="44"/>
      <c r="EC238" s="44"/>
      <c r="ED238" s="44"/>
      <c r="EE238" s="44"/>
      <c r="EF238" s="44"/>
      <c r="EG238" s="44"/>
    </row>
    <row r="239" spans="1:137">
      <c r="A239" s="14"/>
      <c r="B239" s="44"/>
      <c r="C239" s="44"/>
      <c r="D239" s="44"/>
      <c r="E239" s="44"/>
      <c r="F239" s="44"/>
      <c r="G239" s="44"/>
      <c r="H239" s="44"/>
      <c r="I239" s="44"/>
      <c r="J239" s="44"/>
      <c r="K239" s="44"/>
      <c r="L239" s="44"/>
      <c r="M239" s="44"/>
      <c r="N239" s="44"/>
      <c r="O239" s="44"/>
      <c r="P239" s="44"/>
      <c r="Q239" s="44"/>
      <c r="R239" s="44"/>
      <c r="S239" s="97"/>
      <c r="BU239" s="191"/>
      <c r="BV239" s="191"/>
      <c r="BW239" s="191"/>
      <c r="BX239" s="191"/>
      <c r="BY239" s="191"/>
      <c r="BZ239" s="191"/>
      <c r="CA239" s="191"/>
      <c r="CB239" s="191"/>
      <c r="CC239" s="191"/>
      <c r="CD239" s="18"/>
      <c r="CE239" s="45"/>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row>
    <row r="240" spans="1:137" ht="9.75" customHeight="1">
      <c r="A240" s="14"/>
      <c r="B240" s="44"/>
      <c r="C240" s="44"/>
      <c r="D240" s="44"/>
      <c r="E240" s="44"/>
      <c r="F240" s="44"/>
      <c r="G240" s="44"/>
      <c r="H240" s="44"/>
      <c r="I240" s="44"/>
      <c r="J240" s="44"/>
      <c r="K240" s="44"/>
      <c r="L240" s="44"/>
      <c r="M240" s="44"/>
      <c r="N240" s="44"/>
      <c r="O240" s="44"/>
      <c r="P240" s="44"/>
      <c r="Q240" s="44"/>
      <c r="R240" s="44"/>
      <c r="S240" s="97"/>
      <c r="BU240" s="19"/>
      <c r="BV240" s="19"/>
      <c r="BW240" s="19"/>
      <c r="BX240" s="102"/>
      <c r="BY240" s="19"/>
      <c r="BZ240" s="103"/>
      <c r="CA240" s="103"/>
      <c r="CB240" s="103"/>
      <c r="CC240" s="103"/>
      <c r="CD240" s="103"/>
      <c r="CE240" s="45"/>
      <c r="CF240" s="44"/>
      <c r="CG240" s="44"/>
      <c r="CH240" s="44"/>
      <c r="CI240" s="44"/>
      <c r="CJ240" s="44"/>
      <c r="CK240" s="44"/>
      <c r="CL240" s="44"/>
      <c r="CM240" s="44"/>
      <c r="CN240" s="44"/>
      <c r="CO240" s="44"/>
      <c r="CP240" s="44"/>
      <c r="CQ240" s="44"/>
      <c r="CR240" s="44"/>
      <c r="CS240" s="44"/>
      <c r="CT240" s="44"/>
      <c r="CU240" s="44"/>
      <c r="CV240" s="44"/>
      <c r="CW240" s="44"/>
      <c r="CX240" s="44"/>
      <c r="CY240" s="44"/>
      <c r="CZ240" s="44"/>
      <c r="DA240" s="44"/>
      <c r="DB240" s="44"/>
      <c r="DC240" s="44"/>
      <c r="DD240" s="44"/>
      <c r="DE240" s="44"/>
      <c r="DF240" s="44"/>
      <c r="DG240" s="44"/>
      <c r="DH240" s="44"/>
      <c r="DI240" s="44"/>
      <c r="DJ240" s="44"/>
      <c r="DK240" s="44"/>
      <c r="DL240" s="44"/>
      <c r="DM240" s="44"/>
      <c r="DN240" s="44"/>
      <c r="DO240" s="44"/>
      <c r="DP240" s="44"/>
      <c r="DQ240" s="44"/>
      <c r="DR240" s="44"/>
      <c r="DS240" s="44"/>
      <c r="DT240" s="44"/>
      <c r="DU240" s="44"/>
      <c r="DV240" s="44"/>
      <c r="DW240" s="44"/>
      <c r="DX240" s="44"/>
      <c r="DY240" s="44"/>
      <c r="DZ240" s="44"/>
      <c r="EA240" s="44"/>
      <c r="EB240" s="44"/>
      <c r="EC240" s="44"/>
      <c r="ED240" s="44"/>
      <c r="EE240" s="44"/>
      <c r="EF240" s="44"/>
      <c r="EG240" s="44"/>
    </row>
    <row r="241" spans="1:137">
      <c r="A241" s="14"/>
      <c r="B241" s="44"/>
      <c r="C241" s="44"/>
      <c r="D241" s="44"/>
      <c r="E241" s="44"/>
      <c r="F241" s="44"/>
      <c r="G241" s="44"/>
      <c r="H241" s="44"/>
      <c r="I241" s="44"/>
      <c r="J241" s="44"/>
      <c r="K241" s="44"/>
      <c r="L241" s="44"/>
      <c r="M241" s="44"/>
      <c r="N241" s="44"/>
      <c r="O241" s="44"/>
      <c r="P241" s="44"/>
      <c r="Q241" s="44"/>
      <c r="R241" s="44"/>
      <c r="S241" s="97"/>
      <c r="BU241" s="137" t="s">
        <v>16</v>
      </c>
      <c r="BV241" s="155">
        <f ca="1">NOW()</f>
        <v>44998.318220717592</v>
      </c>
      <c r="BW241" s="104"/>
      <c r="BX241" s="105"/>
      <c r="BY241" s="102" t="s">
        <v>52</v>
      </c>
      <c r="BZ241" s="103"/>
      <c r="CA241" s="103"/>
      <c r="CB241" s="103"/>
      <c r="CC241" s="103"/>
      <c r="CD241" s="103"/>
      <c r="CE241" s="45"/>
      <c r="CF241" s="44"/>
      <c r="CG241" s="44"/>
      <c r="CH241" s="44"/>
      <c r="CI241" s="44"/>
      <c r="CJ241" s="44"/>
      <c r="CK241" s="44"/>
      <c r="CL241" s="44"/>
      <c r="CM241" s="44"/>
      <c r="CN241" s="44"/>
      <c r="CO241" s="44"/>
      <c r="CP241" s="44"/>
      <c r="CQ241" s="44"/>
      <c r="CR241" s="44"/>
      <c r="CS241" s="44"/>
      <c r="CT241" s="44"/>
      <c r="CU241" s="44"/>
      <c r="CV241" s="44"/>
      <c r="CW241" s="44"/>
      <c r="CX241" s="44"/>
      <c r="CY241" s="44"/>
      <c r="CZ241" s="44"/>
      <c r="DA241" s="44"/>
      <c r="DB241" s="44"/>
      <c r="DC241" s="44"/>
      <c r="DD241" s="44"/>
      <c r="DE241" s="44"/>
      <c r="DF241" s="44"/>
      <c r="DG241" s="44"/>
      <c r="DH241" s="44"/>
      <c r="DI241" s="44"/>
      <c r="DJ241" s="44"/>
      <c r="DK241" s="44"/>
      <c r="DL241" s="44"/>
      <c r="DM241" s="44"/>
      <c r="DN241" s="44"/>
      <c r="DO241" s="44"/>
      <c r="DP241" s="44"/>
      <c r="DQ241" s="44"/>
      <c r="DR241" s="44"/>
      <c r="DS241" s="44"/>
      <c r="DT241" s="44"/>
      <c r="DU241" s="44"/>
      <c r="DV241" s="44"/>
      <c r="DW241" s="44"/>
      <c r="DX241" s="44"/>
      <c r="DY241" s="44"/>
      <c r="DZ241" s="44"/>
      <c r="EA241" s="44"/>
      <c r="EB241" s="44"/>
      <c r="EC241" s="44"/>
      <c r="ED241" s="44"/>
      <c r="EE241" s="44"/>
      <c r="EF241" s="44"/>
      <c r="EG241" s="44"/>
    </row>
    <row r="242" spans="1:137">
      <c r="A242" s="14"/>
      <c r="B242" s="44"/>
      <c r="C242" s="44"/>
      <c r="D242" s="44"/>
      <c r="E242" s="44"/>
      <c r="F242" s="44"/>
      <c r="G242" s="44"/>
      <c r="H242" s="44"/>
      <c r="I242" s="44"/>
      <c r="J242" s="44"/>
      <c r="K242" s="44"/>
      <c r="L242" s="44"/>
      <c r="M242" s="44"/>
      <c r="N242" s="44"/>
      <c r="O242" s="44"/>
      <c r="P242" s="44"/>
      <c r="Q242" s="44"/>
      <c r="R242" s="44"/>
      <c r="S242" s="97"/>
      <c r="BU242" s="187"/>
      <c r="BV242" s="187"/>
      <c r="BW242" s="19"/>
      <c r="BX242" s="103"/>
      <c r="BY242" s="103"/>
      <c r="BZ242" s="103"/>
      <c r="CA242" s="103"/>
      <c r="CB242" s="103"/>
      <c r="CC242" s="103"/>
      <c r="CD242" s="103"/>
      <c r="CE242" s="45"/>
      <c r="CF242" s="44"/>
      <c r="CG242" s="44"/>
      <c r="CH242" s="44"/>
      <c r="CI242" s="44"/>
      <c r="CJ242" s="44"/>
      <c r="CK242" s="44"/>
      <c r="CL242" s="44"/>
      <c r="CM242" s="44"/>
      <c r="CN242" s="44"/>
      <c r="CO242" s="44"/>
      <c r="CP242" s="44"/>
      <c r="CQ242" s="44"/>
      <c r="CR242" s="44"/>
      <c r="CS242" s="44"/>
      <c r="CT242" s="44"/>
      <c r="CU242" s="44"/>
      <c r="CV242" s="44"/>
      <c r="CW242" s="44"/>
      <c r="CX242" s="44"/>
      <c r="CY242" s="44"/>
      <c r="CZ242" s="44"/>
      <c r="DA242" s="44"/>
      <c r="DB242" s="44"/>
      <c r="DC242" s="44"/>
      <c r="DD242" s="44"/>
      <c r="DE242" s="44"/>
      <c r="DF242" s="44"/>
      <c r="DG242" s="44"/>
      <c r="DH242" s="44"/>
      <c r="DI242" s="44"/>
      <c r="DJ242" s="44"/>
      <c r="DK242" s="44"/>
      <c r="DL242" s="44"/>
      <c r="DM242" s="44"/>
      <c r="DN242" s="44"/>
      <c r="DO242" s="44"/>
      <c r="DP242" s="44"/>
      <c r="DQ242" s="44"/>
      <c r="DR242" s="44"/>
      <c r="DS242" s="44"/>
      <c r="DT242" s="44"/>
      <c r="DU242" s="44"/>
      <c r="DV242" s="44"/>
      <c r="DW242" s="44"/>
      <c r="DX242" s="44"/>
      <c r="DY242" s="44"/>
      <c r="DZ242" s="44"/>
      <c r="EA242" s="44"/>
      <c r="EB242" s="44"/>
      <c r="EC242" s="44"/>
      <c r="ED242" s="44"/>
      <c r="EE242" s="44"/>
      <c r="EF242" s="44"/>
      <c r="EG242" s="44"/>
    </row>
    <row r="243" spans="1:137">
      <c r="A243" s="14"/>
      <c r="B243" s="44"/>
      <c r="C243" s="44"/>
      <c r="D243" s="44"/>
      <c r="E243" s="44"/>
      <c r="F243" s="44"/>
      <c r="G243" s="44"/>
      <c r="H243" s="44"/>
      <c r="I243" s="44"/>
      <c r="J243" s="44"/>
      <c r="K243" s="44"/>
      <c r="L243" s="44"/>
      <c r="M243" s="44"/>
      <c r="N243" s="44"/>
      <c r="O243" s="44"/>
      <c r="P243" s="44"/>
      <c r="Q243" s="44"/>
      <c r="R243" s="44"/>
      <c r="S243" s="97"/>
      <c r="BU243" s="102"/>
      <c r="BV243" s="103"/>
      <c r="BW243" s="19"/>
      <c r="BX243" s="19"/>
      <c r="BY243" s="112"/>
      <c r="BZ243" s="16"/>
      <c r="CA243" s="16"/>
      <c r="CB243" s="16"/>
      <c r="CC243" s="16"/>
      <c r="CD243" s="19"/>
      <c r="CE243" s="45"/>
      <c r="CF243" s="44"/>
      <c r="CG243" s="44"/>
      <c r="CH243" s="44"/>
      <c r="CI243" s="44"/>
      <c r="CJ243" s="44"/>
      <c r="CK243" s="44"/>
      <c r="CL243" s="44"/>
      <c r="CM243" s="44"/>
      <c r="CN243" s="44"/>
      <c r="CO243" s="44"/>
      <c r="CP243" s="44"/>
      <c r="CQ243" s="44"/>
      <c r="CR243" s="44"/>
      <c r="CS243" s="44"/>
      <c r="CT243" s="44"/>
      <c r="CU243" s="44"/>
      <c r="CV243" s="44"/>
      <c r="CW243" s="44"/>
      <c r="CX243" s="44"/>
      <c r="CY243" s="44"/>
      <c r="CZ243" s="44"/>
      <c r="DA243" s="44"/>
      <c r="DB243" s="44"/>
      <c r="DC243" s="44"/>
      <c r="DD243" s="44"/>
      <c r="DE243" s="44"/>
      <c r="DF243" s="44"/>
      <c r="DG243" s="44"/>
      <c r="DH243" s="44"/>
      <c r="DI243" s="44"/>
      <c r="DJ243" s="44"/>
      <c r="DK243" s="44"/>
      <c r="DL243" s="44"/>
      <c r="DM243" s="44"/>
      <c r="DN243" s="44"/>
      <c r="DO243" s="44"/>
      <c r="DP243" s="44"/>
      <c r="DQ243" s="44"/>
      <c r="DR243" s="44"/>
      <c r="DS243" s="44"/>
      <c r="DT243" s="44"/>
      <c r="DU243" s="44"/>
      <c r="DV243" s="44"/>
      <c r="DW243" s="44"/>
      <c r="DX243" s="44"/>
      <c r="DY243" s="44"/>
      <c r="DZ243" s="44"/>
      <c r="EA243" s="44"/>
      <c r="EB243" s="44"/>
      <c r="EC243" s="44"/>
      <c r="ED243" s="44"/>
      <c r="EE243" s="44"/>
      <c r="EF243" s="44"/>
      <c r="EG243" s="44"/>
    </row>
    <row r="244" spans="1:137">
      <c r="A244" s="14"/>
      <c r="B244" s="44"/>
      <c r="C244" s="44"/>
      <c r="D244" s="44"/>
      <c r="E244" s="44"/>
      <c r="F244" s="44"/>
      <c r="G244" s="44"/>
      <c r="H244" s="44"/>
      <c r="I244" s="44"/>
      <c r="J244" s="44"/>
      <c r="K244" s="44"/>
      <c r="L244" s="44"/>
      <c r="M244" s="44"/>
      <c r="N244" s="44"/>
      <c r="O244" s="44"/>
      <c r="P244" s="44"/>
      <c r="Q244" s="44"/>
      <c r="R244" s="44"/>
      <c r="S244" s="97"/>
      <c r="BU244" s="19"/>
      <c r="BV244" s="19"/>
      <c r="BW244" s="19"/>
      <c r="BX244" s="19"/>
      <c r="BY244" s="185" t="str">
        <f>IF(C9="","",C9)</f>
        <v/>
      </c>
      <c r="BZ244" s="185"/>
      <c r="CA244" s="185"/>
      <c r="CB244" s="185"/>
      <c r="CC244" s="185"/>
      <c r="CD244" s="19"/>
      <c r="CE244" s="45"/>
      <c r="CF244" s="44"/>
      <c r="CG244" s="44"/>
      <c r="CH244" s="44"/>
      <c r="CI244" s="44"/>
      <c r="CJ244" s="44"/>
      <c r="CK244" s="44"/>
      <c r="CL244" s="44"/>
      <c r="CM244" s="44"/>
      <c r="CN244" s="44"/>
      <c r="CO244" s="44"/>
      <c r="CP244" s="44"/>
      <c r="CQ244" s="44"/>
      <c r="CR244" s="44"/>
      <c r="CS244" s="44"/>
      <c r="CT244" s="44"/>
      <c r="CU244" s="44"/>
      <c r="CV244" s="44"/>
      <c r="CW244" s="44"/>
      <c r="CX244" s="44"/>
      <c r="CY244" s="44"/>
      <c r="CZ244" s="44"/>
      <c r="DA244" s="44"/>
      <c r="DB244" s="44"/>
      <c r="DC244" s="44"/>
      <c r="DD244" s="44"/>
      <c r="DE244" s="44"/>
      <c r="DF244" s="44"/>
      <c r="DG244" s="44"/>
      <c r="DH244" s="44"/>
      <c r="DI244" s="44"/>
      <c r="DJ244" s="44"/>
      <c r="DK244" s="44"/>
      <c r="DL244" s="44"/>
      <c r="DM244" s="44"/>
      <c r="DN244" s="44"/>
      <c r="DO244" s="44"/>
      <c r="DP244" s="44"/>
      <c r="DQ244" s="44"/>
      <c r="DR244" s="44"/>
      <c r="DS244" s="44"/>
      <c r="DT244" s="44"/>
      <c r="DU244" s="44"/>
      <c r="DV244" s="44"/>
      <c r="DW244" s="44"/>
      <c r="DX244" s="44"/>
      <c r="DY244" s="44"/>
      <c r="DZ244" s="44"/>
      <c r="EA244" s="44"/>
      <c r="EB244" s="44"/>
      <c r="EC244" s="44"/>
      <c r="ED244" s="44"/>
      <c r="EE244" s="44"/>
      <c r="EF244" s="44"/>
      <c r="EG244" s="44"/>
    </row>
    <row r="245" spans="1:137">
      <c r="A245" s="14"/>
      <c r="B245" s="44"/>
      <c r="C245" s="44"/>
      <c r="D245" s="44"/>
      <c r="E245" s="44"/>
      <c r="F245" s="44"/>
      <c r="G245" s="44"/>
      <c r="H245" s="44"/>
      <c r="I245" s="44"/>
      <c r="J245" s="44"/>
      <c r="K245" s="44"/>
      <c r="L245" s="44"/>
      <c r="M245" s="44"/>
      <c r="N245" s="44"/>
      <c r="O245" s="44"/>
      <c r="P245" s="44"/>
      <c r="Q245" s="44"/>
      <c r="R245" s="44"/>
      <c r="S245" s="97"/>
      <c r="BU245" s="19"/>
      <c r="BV245" s="19"/>
      <c r="BW245" s="19"/>
      <c r="BX245" s="19"/>
      <c r="BY245" s="186" t="str">
        <f>IF(C12="","",C12)</f>
        <v/>
      </c>
      <c r="BZ245" s="186"/>
      <c r="CA245" s="186"/>
      <c r="CB245" s="186"/>
      <c r="CC245" s="186"/>
      <c r="CD245" s="19"/>
      <c r="CE245" s="45"/>
      <c r="CF245" s="44"/>
      <c r="CG245" s="44"/>
      <c r="CH245" s="44"/>
      <c r="CI245" s="44"/>
      <c r="CJ245" s="44"/>
      <c r="CK245" s="44"/>
      <c r="CL245" s="44"/>
      <c r="CM245" s="44"/>
      <c r="CN245" s="44"/>
      <c r="CO245" s="44"/>
      <c r="CP245" s="44"/>
      <c r="CQ245" s="44"/>
      <c r="CR245" s="44"/>
      <c r="CS245" s="44"/>
      <c r="CT245" s="44"/>
      <c r="CU245" s="44"/>
      <c r="CV245" s="44"/>
      <c r="CW245" s="44"/>
      <c r="CX245" s="44"/>
      <c r="CY245" s="44"/>
      <c r="CZ245" s="44"/>
      <c r="DA245" s="44"/>
      <c r="DB245" s="44"/>
      <c r="DC245" s="44"/>
      <c r="DD245" s="44"/>
      <c r="DE245" s="44"/>
      <c r="DF245" s="44"/>
      <c r="DG245" s="44"/>
      <c r="DH245" s="44"/>
      <c r="DI245" s="44"/>
      <c r="DJ245" s="44"/>
      <c r="DK245" s="44"/>
      <c r="DL245" s="44"/>
      <c r="DM245" s="44"/>
      <c r="DN245" s="44"/>
      <c r="DO245" s="44"/>
      <c r="DP245" s="44"/>
      <c r="DQ245" s="44"/>
      <c r="DR245" s="44"/>
      <c r="DS245" s="44"/>
      <c r="DT245" s="44"/>
      <c r="DU245" s="44"/>
      <c r="DV245" s="44"/>
      <c r="DW245" s="44"/>
      <c r="DX245" s="44"/>
      <c r="DY245" s="44"/>
      <c r="DZ245" s="44"/>
      <c r="EA245" s="44"/>
      <c r="EB245" s="44"/>
      <c r="EC245" s="44"/>
      <c r="ED245" s="44"/>
      <c r="EE245" s="44"/>
      <c r="EF245" s="44"/>
      <c r="EG245" s="44"/>
    </row>
    <row r="246" spans="1:137">
      <c r="A246" s="14"/>
      <c r="B246" s="44"/>
      <c r="C246" s="44"/>
      <c r="D246" s="44"/>
      <c r="E246" s="44"/>
      <c r="F246" s="44"/>
      <c r="G246" s="44"/>
      <c r="H246" s="44"/>
      <c r="I246" s="44"/>
      <c r="J246" s="44"/>
      <c r="K246" s="44"/>
      <c r="L246" s="44"/>
      <c r="M246" s="44"/>
      <c r="N246" s="44"/>
      <c r="O246" s="44"/>
      <c r="P246" s="44"/>
      <c r="Q246" s="44"/>
      <c r="R246" s="44"/>
      <c r="S246" s="44"/>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45"/>
      <c r="BV246" s="45"/>
      <c r="BW246" s="45"/>
      <c r="BX246" s="45"/>
      <c r="BY246" s="45"/>
      <c r="BZ246" s="45"/>
      <c r="CA246" s="45"/>
      <c r="CB246" s="45"/>
      <c r="CC246" s="45"/>
      <c r="CD246" s="45"/>
      <c r="CE246" s="44"/>
      <c r="CF246" s="44"/>
      <c r="CG246" s="44"/>
      <c r="CH246" s="44"/>
      <c r="CI246" s="44"/>
      <c r="CJ246" s="44"/>
      <c r="CK246" s="44"/>
      <c r="CL246" s="44"/>
      <c r="CM246" s="44"/>
      <c r="CN246" s="44"/>
      <c r="CO246" s="44"/>
      <c r="CP246" s="44"/>
      <c r="CQ246" s="44"/>
      <c r="CR246" s="44"/>
      <c r="CS246" s="44"/>
      <c r="CT246" s="44"/>
      <c r="CU246" s="44"/>
      <c r="CV246" s="44"/>
      <c r="CW246" s="44"/>
      <c r="CX246" s="44"/>
      <c r="CY246" s="44"/>
      <c r="CZ246" s="44"/>
      <c r="DA246" s="44"/>
      <c r="DB246" s="44"/>
      <c r="DC246" s="44"/>
      <c r="DD246" s="44"/>
      <c r="DE246" s="44"/>
      <c r="DF246" s="44"/>
      <c r="DG246" s="44"/>
      <c r="DH246" s="44"/>
      <c r="DI246" s="44"/>
      <c r="DJ246" s="44"/>
      <c r="DK246" s="44"/>
      <c r="DL246" s="44"/>
      <c r="DM246" s="44"/>
      <c r="DN246" s="44"/>
      <c r="DO246" s="44"/>
      <c r="DP246" s="44"/>
      <c r="DQ246" s="44"/>
      <c r="DR246" s="44"/>
      <c r="DS246" s="44"/>
      <c r="DT246" s="44"/>
      <c r="DU246" s="44"/>
      <c r="DV246" s="44"/>
      <c r="DW246" s="44"/>
      <c r="DX246" s="44"/>
      <c r="DY246" s="44"/>
      <c r="DZ246" s="44"/>
      <c r="EA246" s="44"/>
      <c r="EB246" s="44"/>
      <c r="EC246" s="44"/>
      <c r="ED246" s="44"/>
      <c r="EE246" s="44"/>
      <c r="EF246" s="44"/>
      <c r="EG246" s="44"/>
    </row>
    <row r="247" spans="1:137">
      <c r="A247" s="14"/>
      <c r="B247" s="44"/>
      <c r="C247" s="44"/>
      <c r="D247" s="44"/>
      <c r="E247" s="44"/>
      <c r="F247" s="44"/>
      <c r="G247" s="44"/>
      <c r="H247" s="44"/>
      <c r="I247" s="44"/>
      <c r="J247" s="44"/>
      <c r="K247" s="44"/>
      <c r="L247" s="44"/>
      <c r="M247" s="44"/>
      <c r="N247" s="44"/>
      <c r="O247" s="44"/>
      <c r="P247" s="44"/>
      <c r="Q247" s="44"/>
      <c r="R247" s="44"/>
      <c r="S247" s="44"/>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44"/>
      <c r="BV247" s="44"/>
      <c r="BW247" s="44"/>
      <c r="BX247" s="44"/>
      <c r="BY247" s="44"/>
      <c r="BZ247" s="44"/>
      <c r="CA247" s="44"/>
      <c r="CB247" s="44"/>
      <c r="CC247" s="44"/>
      <c r="CD247" s="44"/>
      <c r="CE247" s="44"/>
      <c r="CF247" s="44"/>
      <c r="CG247" s="44"/>
      <c r="CH247" s="44"/>
      <c r="CI247" s="44"/>
      <c r="CJ247" s="44"/>
      <c r="CK247" s="44"/>
      <c r="CL247" s="44"/>
      <c r="CM247" s="44"/>
      <c r="CN247" s="44"/>
      <c r="CO247" s="44"/>
      <c r="CP247" s="44"/>
      <c r="CQ247" s="44"/>
      <c r="CR247" s="44"/>
      <c r="CS247" s="44"/>
      <c r="CT247" s="44"/>
      <c r="CU247" s="44"/>
      <c r="CV247" s="44"/>
      <c r="CW247" s="44"/>
      <c r="CX247" s="44"/>
      <c r="CY247" s="44"/>
      <c r="CZ247" s="44"/>
      <c r="DA247" s="44"/>
      <c r="DB247" s="44"/>
      <c r="DC247" s="44"/>
      <c r="DD247" s="44"/>
      <c r="DE247" s="44"/>
      <c r="DF247" s="44"/>
      <c r="DG247" s="44"/>
      <c r="DH247" s="44"/>
      <c r="DI247" s="44"/>
      <c r="DJ247" s="44"/>
      <c r="DK247" s="44"/>
      <c r="DL247" s="44"/>
      <c r="DM247" s="44"/>
      <c r="DN247" s="44"/>
      <c r="DO247" s="44"/>
      <c r="DP247" s="44"/>
      <c r="DQ247" s="44"/>
      <c r="DR247" s="44"/>
      <c r="DS247" s="44"/>
      <c r="DT247" s="44"/>
      <c r="DU247" s="44"/>
      <c r="DV247" s="44"/>
      <c r="DW247" s="44"/>
      <c r="DX247" s="44"/>
      <c r="DY247" s="44"/>
      <c r="DZ247" s="44"/>
      <c r="EA247" s="44"/>
      <c r="EB247" s="44"/>
      <c r="EC247" s="44"/>
      <c r="ED247" s="44"/>
      <c r="EE247" s="44"/>
      <c r="EF247" s="44"/>
      <c r="EG247" s="44"/>
    </row>
    <row r="248" spans="1:137">
      <c r="A248" s="14"/>
      <c r="B248" s="44"/>
      <c r="C248" s="44"/>
      <c r="D248" s="44"/>
      <c r="E248" s="44"/>
      <c r="F248" s="44"/>
      <c r="G248" s="44"/>
      <c r="H248" s="44"/>
      <c r="I248" s="44"/>
      <c r="J248" s="44"/>
      <c r="K248" s="44"/>
      <c r="L248" s="44"/>
      <c r="M248" s="44"/>
      <c r="N248" s="44"/>
      <c r="O248" s="44"/>
      <c r="P248" s="44"/>
      <c r="Q248" s="44"/>
      <c r="R248" s="44"/>
      <c r="S248" s="44"/>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5"/>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44"/>
      <c r="BV248" s="44"/>
      <c r="BW248" s="44"/>
      <c r="BX248" s="44"/>
      <c r="BY248" s="44"/>
      <c r="BZ248" s="44"/>
      <c r="CA248" s="44"/>
      <c r="CB248" s="44"/>
      <c r="CC248" s="44"/>
      <c r="CD248" s="44"/>
      <c r="CE248" s="44"/>
      <c r="CF248" s="44"/>
      <c r="CG248" s="44"/>
      <c r="CH248" s="44"/>
      <c r="CI248" s="44"/>
      <c r="CJ248" s="44"/>
      <c r="CK248" s="44"/>
      <c r="CL248" s="44"/>
      <c r="CM248" s="44"/>
      <c r="CN248" s="44"/>
      <c r="CO248" s="44"/>
      <c r="CP248" s="44"/>
      <c r="CQ248" s="44"/>
      <c r="CR248" s="44"/>
      <c r="CS248" s="44"/>
      <c r="CT248" s="44"/>
      <c r="CU248" s="44"/>
      <c r="CV248" s="44"/>
      <c r="CW248" s="44"/>
      <c r="CX248" s="44"/>
      <c r="CY248" s="44"/>
      <c r="CZ248" s="44"/>
      <c r="DA248" s="44"/>
      <c r="DB248" s="44"/>
      <c r="DC248" s="44"/>
      <c r="DD248" s="44"/>
      <c r="DE248" s="44"/>
      <c r="DF248" s="44"/>
      <c r="DG248" s="44"/>
      <c r="DH248" s="44"/>
      <c r="DI248" s="44"/>
      <c r="DJ248" s="44"/>
      <c r="DK248" s="44"/>
      <c r="DL248" s="44"/>
      <c r="DM248" s="44"/>
      <c r="DN248" s="44"/>
      <c r="DO248" s="44"/>
      <c r="DP248" s="44"/>
      <c r="DQ248" s="44"/>
      <c r="DR248" s="44"/>
      <c r="DS248" s="44"/>
      <c r="DT248" s="44"/>
      <c r="DU248" s="44"/>
      <c r="DV248" s="44"/>
      <c r="DW248" s="44"/>
      <c r="DX248" s="44"/>
      <c r="DY248" s="44"/>
      <c r="DZ248" s="44"/>
      <c r="EA248" s="44"/>
      <c r="EB248" s="44"/>
      <c r="EC248" s="44"/>
      <c r="ED248" s="44"/>
      <c r="EE248" s="44"/>
      <c r="EF248" s="44"/>
      <c r="EG248" s="44"/>
    </row>
    <row r="249" spans="1:137">
      <c r="A249" s="14"/>
      <c r="B249" s="44"/>
      <c r="C249" s="44"/>
      <c r="D249" s="44"/>
      <c r="E249" s="44"/>
      <c r="F249" s="44"/>
      <c r="G249" s="44"/>
      <c r="H249" s="44"/>
      <c r="I249" s="44"/>
      <c r="J249" s="44"/>
      <c r="K249" s="44"/>
      <c r="L249" s="44"/>
      <c r="M249" s="44"/>
      <c r="N249" s="44"/>
      <c r="O249" s="44"/>
      <c r="P249" s="44"/>
      <c r="Q249" s="44"/>
      <c r="R249" s="44"/>
      <c r="S249" s="44"/>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44"/>
      <c r="BV249" s="44"/>
      <c r="BW249" s="44"/>
      <c r="BX249" s="44"/>
      <c r="BY249" s="44"/>
      <c r="BZ249" s="44"/>
      <c r="CA249" s="44"/>
      <c r="CB249" s="44"/>
      <c r="CC249" s="44"/>
      <c r="CD249" s="44"/>
      <c r="CE249" s="44"/>
      <c r="CF249" s="44"/>
      <c r="CG249" s="44"/>
      <c r="CH249" s="44"/>
      <c r="CI249" s="44"/>
      <c r="CJ249" s="44"/>
      <c r="CK249" s="44"/>
      <c r="CL249" s="44"/>
      <c r="CM249" s="44"/>
      <c r="CN249" s="44"/>
      <c r="CO249" s="44"/>
      <c r="CP249" s="44"/>
      <c r="CQ249" s="44"/>
      <c r="CR249" s="44"/>
      <c r="CS249" s="44"/>
      <c r="CT249" s="44"/>
      <c r="CU249" s="44"/>
      <c r="CV249" s="44"/>
      <c r="CW249" s="44"/>
      <c r="CX249" s="44"/>
      <c r="CY249" s="44"/>
      <c r="CZ249" s="44"/>
      <c r="DA249" s="44"/>
      <c r="DB249" s="44"/>
      <c r="DC249" s="44"/>
      <c r="DD249" s="44"/>
      <c r="DE249" s="44"/>
      <c r="DF249" s="44"/>
      <c r="DG249" s="44"/>
      <c r="DH249" s="44"/>
      <c r="DI249" s="44"/>
      <c r="DJ249" s="44"/>
      <c r="DK249" s="44"/>
      <c r="DL249" s="44"/>
      <c r="DM249" s="44"/>
      <c r="DN249" s="44"/>
      <c r="DO249" s="44"/>
      <c r="DP249" s="44"/>
      <c r="DQ249" s="44"/>
      <c r="DR249" s="44"/>
      <c r="DS249" s="44"/>
      <c r="DT249" s="44"/>
      <c r="DU249" s="44"/>
      <c r="DV249" s="44"/>
      <c r="DW249" s="44"/>
      <c r="DX249" s="44"/>
      <c r="DY249" s="44"/>
      <c r="DZ249" s="44"/>
      <c r="EA249" s="44"/>
      <c r="EB249" s="44"/>
      <c r="EC249" s="44"/>
      <c r="ED249" s="44"/>
      <c r="EE249" s="44"/>
      <c r="EF249" s="44"/>
      <c r="EG249" s="44"/>
    </row>
    <row r="250" spans="1:137">
      <c r="A250" s="14"/>
      <c r="B250" s="44"/>
      <c r="C250" s="44"/>
      <c r="D250" s="44"/>
      <c r="E250" s="44"/>
      <c r="F250" s="44"/>
      <c r="G250" s="44"/>
      <c r="H250" s="44"/>
      <c r="I250" s="44"/>
      <c r="J250" s="44"/>
      <c r="K250" s="44"/>
      <c r="L250" s="44"/>
      <c r="M250" s="44"/>
      <c r="N250" s="44"/>
      <c r="O250" s="44"/>
      <c r="P250" s="44"/>
      <c r="Q250" s="44"/>
      <c r="R250" s="44"/>
      <c r="S250" s="44"/>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44"/>
      <c r="BV250" s="44"/>
      <c r="BW250" s="44"/>
      <c r="BX250" s="44"/>
      <c r="BY250" s="44"/>
      <c r="BZ250" s="44"/>
      <c r="CA250" s="44"/>
      <c r="CB250" s="44"/>
      <c r="CC250" s="44"/>
      <c r="CD250" s="44"/>
      <c r="CE250" s="44"/>
      <c r="CF250" s="44"/>
      <c r="CG250" s="44"/>
      <c r="CH250" s="44"/>
      <c r="CI250" s="44"/>
      <c r="CJ250" s="44"/>
      <c r="CK250" s="44"/>
      <c r="CL250" s="44"/>
      <c r="CM250" s="44"/>
      <c r="CN250" s="44"/>
      <c r="CO250" s="44"/>
      <c r="CP250" s="44"/>
      <c r="CQ250" s="44"/>
      <c r="CR250" s="44"/>
      <c r="CS250" s="44"/>
      <c r="CT250" s="44"/>
      <c r="CU250" s="44"/>
      <c r="CV250" s="44"/>
      <c r="CW250" s="44"/>
      <c r="CX250" s="44"/>
      <c r="CY250" s="44"/>
      <c r="CZ250" s="44"/>
      <c r="DA250" s="44"/>
      <c r="DB250" s="44"/>
      <c r="DC250" s="44"/>
      <c r="DD250" s="44"/>
      <c r="DE250" s="44"/>
      <c r="DF250" s="44"/>
      <c r="DG250" s="44"/>
      <c r="DH250" s="44"/>
      <c r="DI250" s="44"/>
      <c r="DJ250" s="44"/>
      <c r="DK250" s="44"/>
      <c r="DL250" s="44"/>
      <c r="DM250" s="44"/>
      <c r="DN250" s="44"/>
      <c r="DO250" s="44"/>
      <c r="DP250" s="44"/>
      <c r="DQ250" s="44"/>
      <c r="DR250" s="44"/>
      <c r="DS250" s="44"/>
      <c r="DT250" s="44"/>
      <c r="DU250" s="44"/>
      <c r="DV250" s="44"/>
      <c r="DW250" s="44"/>
      <c r="DX250" s="44"/>
      <c r="DY250" s="44"/>
      <c r="DZ250" s="44"/>
      <c r="EA250" s="44"/>
      <c r="EB250" s="44"/>
      <c r="EC250" s="44"/>
      <c r="ED250" s="44"/>
      <c r="EE250" s="44"/>
      <c r="EF250" s="44"/>
      <c r="EG250" s="44"/>
    </row>
    <row r="251" spans="1:137">
      <c r="A251" s="14"/>
      <c r="B251" s="44"/>
      <c r="C251" s="44"/>
      <c r="D251" s="44"/>
      <c r="E251" s="44"/>
      <c r="F251" s="44"/>
      <c r="G251" s="44"/>
      <c r="H251" s="44"/>
      <c r="I251" s="44"/>
      <c r="J251" s="44"/>
      <c r="K251" s="44"/>
      <c r="L251" s="44"/>
      <c r="M251" s="44"/>
      <c r="N251" s="44"/>
      <c r="O251" s="44"/>
      <c r="P251" s="44"/>
      <c r="Q251" s="44"/>
      <c r="R251" s="44"/>
      <c r="S251" s="44"/>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44"/>
      <c r="BV251" s="44"/>
      <c r="BW251" s="44"/>
      <c r="BX251" s="44"/>
      <c r="BY251" s="44"/>
      <c r="BZ251" s="44"/>
      <c r="CA251" s="44"/>
      <c r="CB251" s="44"/>
      <c r="CC251" s="44"/>
      <c r="CD251" s="44"/>
      <c r="CE251" s="44"/>
      <c r="CF251" s="44"/>
      <c r="CG251" s="44"/>
      <c r="CH251" s="44"/>
      <c r="CI251" s="44"/>
      <c r="CJ251" s="44"/>
      <c r="CK251" s="44"/>
      <c r="CL251" s="44"/>
      <c r="CM251" s="44"/>
      <c r="CN251" s="44"/>
      <c r="CO251" s="44"/>
      <c r="CP251" s="44"/>
      <c r="CQ251" s="44"/>
      <c r="CR251" s="44"/>
      <c r="CS251" s="44"/>
      <c r="CT251" s="44"/>
      <c r="CU251" s="44"/>
      <c r="CV251" s="44"/>
      <c r="CW251" s="44"/>
      <c r="CX251" s="44"/>
      <c r="CY251" s="44"/>
      <c r="CZ251" s="44"/>
      <c r="DA251" s="44"/>
      <c r="DB251" s="44"/>
      <c r="DC251" s="44"/>
      <c r="DD251" s="44"/>
      <c r="DE251" s="44"/>
      <c r="DF251" s="44"/>
      <c r="DG251" s="44"/>
      <c r="DH251" s="44"/>
      <c r="DI251" s="44"/>
      <c r="DJ251" s="44"/>
      <c r="DK251" s="44"/>
      <c r="DL251" s="44"/>
      <c r="DM251" s="44"/>
      <c r="DN251" s="44"/>
      <c r="DO251" s="44"/>
      <c r="DP251" s="44"/>
      <c r="DQ251" s="44"/>
      <c r="DR251" s="44"/>
      <c r="DS251" s="44"/>
      <c r="DT251" s="44"/>
      <c r="DU251" s="44"/>
      <c r="DV251" s="44"/>
      <c r="DW251" s="44"/>
      <c r="DX251" s="44"/>
      <c r="DY251" s="44"/>
      <c r="DZ251" s="44"/>
      <c r="EA251" s="44"/>
      <c r="EB251" s="44"/>
      <c r="EC251" s="44"/>
      <c r="ED251" s="44"/>
      <c r="EE251" s="44"/>
      <c r="EF251" s="44"/>
      <c r="EG251" s="44"/>
    </row>
    <row r="252" spans="1:137">
      <c r="A252" s="14"/>
      <c r="B252" s="44"/>
      <c r="C252" s="44"/>
      <c r="D252" s="44"/>
      <c r="E252" s="44"/>
      <c r="F252" s="44"/>
      <c r="G252" s="44"/>
      <c r="H252" s="44"/>
      <c r="I252" s="44"/>
      <c r="J252" s="44"/>
      <c r="K252" s="44"/>
      <c r="L252" s="44"/>
      <c r="M252" s="44"/>
      <c r="N252" s="44"/>
      <c r="O252" s="44"/>
      <c r="P252" s="44"/>
      <c r="Q252" s="44"/>
      <c r="R252" s="44"/>
      <c r="S252" s="44"/>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44"/>
      <c r="BV252" s="44"/>
      <c r="BW252" s="44"/>
      <c r="BX252" s="44"/>
      <c r="BY252" s="44"/>
      <c r="BZ252" s="44"/>
      <c r="CA252" s="44"/>
      <c r="CB252" s="44"/>
      <c r="CC252" s="44"/>
      <c r="CD252" s="44"/>
      <c r="CE252" s="44"/>
      <c r="CF252" s="44"/>
      <c r="CG252" s="44"/>
      <c r="CH252" s="44"/>
      <c r="CI252" s="44"/>
      <c r="CJ252" s="44"/>
      <c r="CK252" s="44"/>
      <c r="CL252" s="44"/>
      <c r="CM252" s="44"/>
      <c r="CN252" s="44"/>
      <c r="CO252" s="44"/>
      <c r="CP252" s="44"/>
      <c r="CQ252" s="44"/>
      <c r="CR252" s="44"/>
      <c r="CS252" s="44"/>
      <c r="CT252" s="44"/>
      <c r="CU252" s="44"/>
      <c r="CV252" s="44"/>
      <c r="CW252" s="44"/>
      <c r="CX252" s="44"/>
      <c r="CY252" s="44"/>
      <c r="CZ252" s="44"/>
      <c r="DA252" s="44"/>
      <c r="DB252" s="44"/>
      <c r="DC252" s="44"/>
      <c r="DD252" s="44"/>
      <c r="DE252" s="44"/>
      <c r="DF252" s="44"/>
      <c r="DG252" s="44"/>
      <c r="DH252" s="44"/>
      <c r="DI252" s="44"/>
      <c r="DJ252" s="44"/>
      <c r="DK252" s="44"/>
      <c r="DL252" s="44"/>
      <c r="DM252" s="44"/>
      <c r="DN252" s="44"/>
      <c r="DO252" s="44"/>
      <c r="DP252" s="44"/>
      <c r="DQ252" s="44"/>
      <c r="DR252" s="44"/>
      <c r="DS252" s="44"/>
      <c r="DT252" s="44"/>
      <c r="DU252" s="44"/>
      <c r="DV252" s="44"/>
      <c r="DW252" s="44"/>
      <c r="DX252" s="44"/>
      <c r="DY252" s="44"/>
      <c r="DZ252" s="44"/>
      <c r="EA252" s="44"/>
      <c r="EB252" s="44"/>
      <c r="EC252" s="44"/>
      <c r="ED252" s="44"/>
      <c r="EE252" s="44"/>
      <c r="EF252" s="44"/>
      <c r="EG252" s="44"/>
    </row>
    <row r="253" spans="1:137">
      <c r="A253" s="14"/>
      <c r="B253" s="44"/>
      <c r="C253" s="44"/>
      <c r="D253" s="44"/>
      <c r="E253" s="44"/>
      <c r="F253" s="44"/>
      <c r="G253" s="44"/>
      <c r="H253" s="44"/>
      <c r="I253" s="44"/>
      <c r="J253" s="44"/>
      <c r="K253" s="44"/>
      <c r="L253" s="44"/>
      <c r="M253" s="44"/>
      <c r="N253" s="44"/>
      <c r="O253" s="44"/>
      <c r="P253" s="44"/>
      <c r="Q253" s="44"/>
      <c r="R253" s="44"/>
      <c r="S253" s="44"/>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44"/>
      <c r="BV253" s="44"/>
      <c r="BW253" s="44"/>
      <c r="BX253" s="44"/>
      <c r="BY253" s="44"/>
      <c r="BZ253" s="44"/>
      <c r="CA253" s="44"/>
      <c r="CB253" s="44"/>
      <c r="CC253" s="44"/>
      <c r="CD253" s="44"/>
      <c r="CE253" s="44"/>
      <c r="CF253" s="44"/>
      <c r="CG253" s="44"/>
      <c r="CH253" s="44"/>
      <c r="CI253" s="44"/>
      <c r="CJ253" s="44"/>
      <c r="CK253" s="44"/>
      <c r="CL253" s="44"/>
      <c r="CM253" s="44"/>
      <c r="CN253" s="44"/>
      <c r="CO253" s="44"/>
      <c r="CP253" s="44"/>
      <c r="CQ253" s="44"/>
      <c r="CR253" s="44"/>
      <c r="CS253" s="44"/>
      <c r="CT253" s="44"/>
      <c r="CU253" s="44"/>
      <c r="CV253" s="44"/>
      <c r="CW253" s="44"/>
      <c r="CX253" s="44"/>
      <c r="CY253" s="44"/>
      <c r="CZ253" s="44"/>
      <c r="DA253" s="44"/>
      <c r="DB253" s="44"/>
      <c r="DC253" s="44"/>
      <c r="DD253" s="44"/>
      <c r="DE253" s="44"/>
      <c r="DF253" s="44"/>
      <c r="DG253" s="44"/>
      <c r="DH253" s="44"/>
      <c r="DI253" s="44"/>
      <c r="DJ253" s="44"/>
      <c r="DK253" s="44"/>
      <c r="DL253" s="44"/>
      <c r="DM253" s="44"/>
      <c r="DN253" s="44"/>
      <c r="DO253" s="44"/>
      <c r="DP253" s="44"/>
      <c r="DQ253" s="44"/>
      <c r="DR253" s="44"/>
      <c r="DS253" s="44"/>
      <c r="DT253" s="44"/>
      <c r="DU253" s="44"/>
      <c r="DV253" s="44"/>
      <c r="DW253" s="44"/>
      <c r="DX253" s="44"/>
      <c r="DY253" s="44"/>
      <c r="DZ253" s="44"/>
      <c r="EA253" s="44"/>
      <c r="EB253" s="44"/>
      <c r="EC253" s="44"/>
      <c r="ED253" s="44"/>
      <c r="EE253" s="44"/>
      <c r="EF253" s="44"/>
      <c r="EG253" s="44"/>
    </row>
    <row r="254" spans="1:137">
      <c r="A254" s="14"/>
      <c r="B254" s="44"/>
      <c r="C254" s="44"/>
      <c r="D254" s="44"/>
      <c r="E254" s="44"/>
      <c r="F254" s="44"/>
      <c r="G254" s="44"/>
      <c r="H254" s="44"/>
      <c r="I254" s="44"/>
      <c r="J254" s="44"/>
      <c r="K254" s="44"/>
      <c r="L254" s="44"/>
      <c r="M254" s="44"/>
      <c r="N254" s="44"/>
      <c r="O254" s="44"/>
      <c r="P254" s="44"/>
      <c r="Q254" s="44"/>
      <c r="R254" s="44"/>
      <c r="S254" s="44"/>
      <c r="T254" s="20"/>
      <c r="U254" s="20"/>
      <c r="V254" s="20"/>
      <c r="W254" s="20"/>
      <c r="X254" s="20"/>
      <c r="Y254" s="26"/>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44"/>
      <c r="BV254" s="44"/>
      <c r="BW254" s="44"/>
      <c r="BX254" s="44"/>
      <c r="BY254" s="44"/>
      <c r="BZ254" s="44"/>
      <c r="CA254" s="44"/>
      <c r="CB254" s="44"/>
      <c r="CC254" s="44"/>
      <c r="CD254" s="44"/>
      <c r="CE254" s="44"/>
      <c r="CF254" s="44"/>
      <c r="CG254" s="44"/>
      <c r="CH254" s="44"/>
      <c r="CI254" s="44"/>
      <c r="CJ254" s="44"/>
      <c r="CK254" s="44"/>
      <c r="CL254" s="44"/>
      <c r="CM254" s="44"/>
      <c r="CN254" s="44"/>
      <c r="CO254" s="44"/>
      <c r="CP254" s="44"/>
      <c r="CQ254" s="44"/>
      <c r="CR254" s="44"/>
      <c r="CS254" s="44"/>
      <c r="CT254" s="44"/>
      <c r="CU254" s="44"/>
      <c r="CV254" s="44"/>
      <c r="CW254" s="44"/>
      <c r="CX254" s="44"/>
      <c r="CY254" s="44"/>
      <c r="CZ254" s="44"/>
      <c r="DA254" s="44"/>
      <c r="DB254" s="44"/>
      <c r="DC254" s="44"/>
      <c r="DD254" s="44"/>
      <c r="DE254" s="44"/>
      <c r="DF254" s="44"/>
      <c r="DG254" s="44"/>
      <c r="DH254" s="44"/>
      <c r="DI254" s="44"/>
      <c r="DJ254" s="44"/>
      <c r="DK254" s="44"/>
      <c r="DL254" s="44"/>
      <c r="DM254" s="44"/>
      <c r="DN254" s="44"/>
      <c r="DO254" s="44"/>
      <c r="DP254" s="44"/>
      <c r="DQ254" s="44"/>
      <c r="DR254" s="44"/>
      <c r="DS254" s="44"/>
      <c r="DT254" s="44"/>
      <c r="DU254" s="44"/>
      <c r="DV254" s="44"/>
      <c r="DW254" s="44"/>
      <c r="DX254" s="44"/>
      <c r="DY254" s="44"/>
      <c r="DZ254" s="44"/>
      <c r="EA254" s="44"/>
      <c r="EB254" s="44"/>
      <c r="EC254" s="44"/>
      <c r="ED254" s="44"/>
      <c r="EE254" s="44"/>
      <c r="EF254" s="44"/>
      <c r="EG254" s="44"/>
    </row>
    <row r="255" spans="1:137">
      <c r="A255" s="14"/>
      <c r="B255" s="44"/>
      <c r="C255" s="44"/>
      <c r="D255" s="44"/>
      <c r="E255" s="44"/>
      <c r="F255" s="44"/>
      <c r="G255" s="44"/>
      <c r="H255" s="44"/>
      <c r="I255" s="44"/>
      <c r="J255" s="44"/>
      <c r="K255" s="44"/>
      <c r="L255" s="44"/>
      <c r="M255" s="44"/>
      <c r="N255" s="44"/>
      <c r="O255" s="44"/>
      <c r="P255" s="44"/>
      <c r="Q255" s="44"/>
      <c r="R255" s="44"/>
      <c r="S255" s="44"/>
      <c r="T255" s="20"/>
      <c r="U255" s="20"/>
      <c r="V255" s="20"/>
      <c r="W255" s="20"/>
      <c r="X255" s="20"/>
      <c r="Y255" s="26"/>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44"/>
      <c r="BV255" s="44"/>
      <c r="BW255" s="44"/>
      <c r="BX255" s="44"/>
      <c r="BY255" s="44"/>
      <c r="BZ255" s="44"/>
      <c r="CA255" s="44"/>
      <c r="CB255" s="44"/>
      <c r="CC255" s="44"/>
      <c r="CD255" s="44"/>
      <c r="CE255" s="44"/>
      <c r="CF255" s="44"/>
      <c r="CG255" s="44"/>
      <c r="CH255" s="44"/>
      <c r="CI255" s="44"/>
      <c r="CJ255" s="44"/>
      <c r="CK255" s="44"/>
      <c r="CL255" s="44"/>
      <c r="CM255" s="44"/>
      <c r="CN255" s="44"/>
      <c r="CO255" s="44"/>
      <c r="CP255" s="44"/>
      <c r="CQ255" s="44"/>
      <c r="CR255" s="44"/>
      <c r="CS255" s="44"/>
      <c r="CT255" s="44"/>
      <c r="CU255" s="44"/>
      <c r="CV255" s="44"/>
      <c r="CW255" s="44"/>
      <c r="CX255" s="44"/>
      <c r="CY255" s="44"/>
      <c r="CZ255" s="44"/>
      <c r="DA255" s="44"/>
      <c r="DB255" s="44"/>
      <c r="DC255" s="44"/>
      <c r="DD255" s="44"/>
      <c r="DE255" s="44"/>
      <c r="DF255" s="44"/>
      <c r="DG255" s="44"/>
      <c r="DH255" s="44"/>
      <c r="DI255" s="44"/>
      <c r="DJ255" s="44"/>
      <c r="DK255" s="44"/>
      <c r="DL255" s="44"/>
      <c r="DM255" s="44"/>
      <c r="DN255" s="44"/>
      <c r="DO255" s="44"/>
      <c r="DP255" s="44"/>
      <c r="DQ255" s="44"/>
      <c r="DR255" s="44"/>
      <c r="DS255" s="44"/>
      <c r="DT255" s="44"/>
      <c r="DU255" s="44"/>
      <c r="DV255" s="44"/>
      <c r="DW255" s="44"/>
      <c r="DX255" s="44"/>
      <c r="DY255" s="44"/>
      <c r="DZ255" s="44"/>
      <c r="EA255" s="44"/>
      <c r="EB255" s="44"/>
      <c r="EC255" s="44"/>
      <c r="ED255" s="44"/>
      <c r="EE255" s="44"/>
      <c r="EF255" s="44"/>
      <c r="EG255" s="44"/>
    </row>
    <row r="256" spans="1:137">
      <c r="A256" s="14"/>
      <c r="B256" s="44"/>
      <c r="C256" s="44"/>
      <c r="D256" s="44"/>
      <c r="E256" s="44"/>
      <c r="F256" s="44"/>
      <c r="G256" s="44"/>
      <c r="H256" s="44"/>
      <c r="I256" s="44"/>
      <c r="J256" s="44"/>
      <c r="K256" s="44"/>
      <c r="L256" s="44"/>
      <c r="M256" s="44"/>
      <c r="N256" s="44"/>
      <c r="O256" s="44"/>
      <c r="P256" s="44"/>
      <c r="Q256" s="44"/>
      <c r="R256" s="44"/>
      <c r="S256" s="44"/>
      <c r="T256" s="20"/>
      <c r="U256" s="20"/>
      <c r="V256" s="20"/>
      <c r="W256" s="20"/>
      <c r="X256" s="20"/>
      <c r="Y256" s="27"/>
      <c r="Z256" s="27"/>
      <c r="AA256" s="27"/>
      <c r="AB256" s="27"/>
      <c r="AC256" s="27"/>
      <c r="AD256" s="27"/>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44"/>
      <c r="BV256" s="44"/>
      <c r="BW256" s="44"/>
      <c r="BX256" s="44"/>
      <c r="BY256" s="44"/>
      <c r="BZ256" s="44"/>
      <c r="CA256" s="44"/>
      <c r="CB256" s="44"/>
      <c r="CC256" s="44"/>
      <c r="CD256" s="44"/>
      <c r="CE256" s="44"/>
      <c r="CF256" s="44"/>
      <c r="CG256" s="44"/>
      <c r="CH256" s="44"/>
      <c r="CI256" s="44"/>
      <c r="CJ256" s="44"/>
      <c r="CK256" s="44"/>
      <c r="CL256" s="44"/>
      <c r="CM256" s="44"/>
      <c r="CN256" s="44"/>
      <c r="CO256" s="44"/>
      <c r="CP256" s="44"/>
      <c r="CQ256" s="44"/>
      <c r="CR256" s="44"/>
      <c r="CS256" s="44"/>
      <c r="CT256" s="44"/>
      <c r="CU256" s="44"/>
      <c r="CV256" s="44"/>
      <c r="CW256" s="44"/>
      <c r="CX256" s="44"/>
      <c r="CY256" s="44"/>
      <c r="CZ256" s="44"/>
      <c r="DA256" s="44"/>
      <c r="DB256" s="44"/>
      <c r="DC256" s="44"/>
      <c r="DD256" s="44"/>
      <c r="DE256" s="44"/>
      <c r="DF256" s="44"/>
      <c r="DG256" s="44"/>
      <c r="DH256" s="44"/>
      <c r="DI256" s="44"/>
      <c r="DJ256" s="44"/>
      <c r="DK256" s="44"/>
      <c r="DL256" s="44"/>
      <c r="DM256" s="44"/>
      <c r="DN256" s="44"/>
      <c r="DO256" s="44"/>
      <c r="DP256" s="44"/>
      <c r="DQ256" s="44"/>
      <c r="DR256" s="44"/>
      <c r="DS256" s="44"/>
      <c r="DT256" s="44"/>
      <c r="DU256" s="44"/>
      <c r="DV256" s="44"/>
      <c r="DW256" s="44"/>
      <c r="DX256" s="44"/>
      <c r="DY256" s="44"/>
      <c r="DZ256" s="44"/>
      <c r="EA256" s="44"/>
      <c r="EB256" s="44"/>
      <c r="EC256" s="44"/>
      <c r="ED256" s="44"/>
      <c r="EE256" s="44"/>
      <c r="EF256" s="44"/>
      <c r="EG256" s="44"/>
    </row>
    <row r="257" spans="1:137">
      <c r="A257" s="14"/>
      <c r="B257" s="44"/>
      <c r="C257" s="44"/>
      <c r="D257" s="44"/>
      <c r="E257" s="44"/>
      <c r="F257" s="44"/>
      <c r="G257" s="44"/>
      <c r="H257" s="44"/>
      <c r="I257" s="44"/>
      <c r="J257" s="44"/>
      <c r="K257" s="44"/>
      <c r="L257" s="44"/>
      <c r="M257" s="44"/>
      <c r="N257" s="44"/>
      <c r="O257" s="44"/>
      <c r="P257" s="44"/>
      <c r="Q257" s="44"/>
      <c r="R257" s="44"/>
      <c r="S257" s="44"/>
      <c r="T257" s="20"/>
      <c r="U257" s="20"/>
      <c r="V257" s="20"/>
      <c r="W257" s="20"/>
      <c r="X257" s="20"/>
      <c r="Y257" s="27"/>
      <c r="Z257" s="27"/>
      <c r="AA257" s="27"/>
      <c r="AB257" s="27"/>
      <c r="AC257" s="27"/>
      <c r="AD257" s="27"/>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44"/>
      <c r="BV257" s="44"/>
      <c r="BW257" s="44"/>
      <c r="BX257" s="44"/>
      <c r="BY257" s="44"/>
      <c r="BZ257" s="44"/>
      <c r="CA257" s="44"/>
      <c r="CB257" s="44"/>
      <c r="CC257" s="44"/>
      <c r="CD257" s="44"/>
      <c r="CE257" s="44"/>
      <c r="CF257" s="44"/>
      <c r="CG257" s="44"/>
      <c r="CH257" s="44"/>
      <c r="CI257" s="44"/>
      <c r="CJ257" s="44"/>
      <c r="CK257" s="44"/>
      <c r="CL257" s="44"/>
      <c r="CM257" s="44"/>
      <c r="CN257" s="44"/>
      <c r="CO257" s="44"/>
      <c r="CP257" s="44"/>
      <c r="CQ257" s="44"/>
      <c r="CR257" s="44"/>
      <c r="CS257" s="44"/>
      <c r="CT257" s="44"/>
      <c r="CU257" s="44"/>
      <c r="CV257" s="44"/>
      <c r="CW257" s="44"/>
      <c r="CX257" s="44"/>
      <c r="CY257" s="44"/>
      <c r="CZ257" s="44"/>
      <c r="DA257" s="44"/>
      <c r="DB257" s="44"/>
      <c r="DC257" s="44"/>
      <c r="DD257" s="44"/>
      <c r="DE257" s="44"/>
      <c r="DF257" s="44"/>
      <c r="DG257" s="44"/>
      <c r="DH257" s="44"/>
      <c r="DI257" s="44"/>
      <c r="DJ257" s="44"/>
      <c r="DK257" s="44"/>
      <c r="DL257" s="44"/>
      <c r="DM257" s="44"/>
      <c r="DN257" s="44"/>
      <c r="DO257" s="44"/>
      <c r="DP257" s="44"/>
      <c r="DQ257" s="44"/>
      <c r="DR257" s="44"/>
      <c r="DS257" s="44"/>
      <c r="DT257" s="44"/>
      <c r="DU257" s="44"/>
      <c r="DV257" s="44"/>
      <c r="DW257" s="44"/>
      <c r="DX257" s="44"/>
      <c r="DY257" s="44"/>
      <c r="DZ257" s="44"/>
      <c r="EA257" s="44"/>
      <c r="EB257" s="44"/>
      <c r="EC257" s="44"/>
      <c r="ED257" s="44"/>
      <c r="EE257" s="44"/>
      <c r="EF257" s="44"/>
      <c r="EG257" s="44"/>
    </row>
    <row r="258" spans="1:137">
      <c r="A258" s="14"/>
      <c r="B258" s="44"/>
      <c r="C258" s="44"/>
      <c r="D258" s="44"/>
      <c r="E258" s="44"/>
      <c r="F258" s="44"/>
      <c r="G258" s="44"/>
      <c r="H258" s="44"/>
      <c r="I258" s="44"/>
      <c r="J258" s="44"/>
      <c r="K258" s="44"/>
      <c r="L258" s="44"/>
      <c r="M258" s="44"/>
      <c r="N258" s="44"/>
      <c r="O258" s="44"/>
      <c r="P258" s="44"/>
      <c r="Q258" s="44"/>
      <c r="R258" s="44"/>
      <c r="S258" s="44"/>
      <c r="T258" s="20"/>
      <c r="U258" s="20"/>
      <c r="V258" s="20"/>
      <c r="W258" s="20"/>
      <c r="X258" s="20"/>
      <c r="Y258" s="27"/>
      <c r="Z258" s="27"/>
      <c r="AA258" s="27"/>
      <c r="AB258" s="27"/>
      <c r="AC258" s="27"/>
      <c r="AD258" s="27"/>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44"/>
      <c r="BV258" s="44"/>
      <c r="BW258" s="44"/>
      <c r="BX258" s="44"/>
      <c r="BY258" s="44"/>
      <c r="BZ258" s="44"/>
      <c r="CA258" s="44"/>
      <c r="CB258" s="44"/>
      <c r="CC258" s="44"/>
      <c r="CD258" s="44"/>
      <c r="CE258" s="44"/>
      <c r="CF258" s="44"/>
      <c r="CG258" s="44"/>
      <c r="CH258" s="44"/>
      <c r="CI258" s="44"/>
      <c r="CJ258" s="44"/>
      <c r="CK258" s="44"/>
      <c r="CL258" s="44"/>
      <c r="CM258" s="44"/>
      <c r="CN258" s="44"/>
      <c r="CO258" s="44"/>
      <c r="CP258" s="44"/>
      <c r="CQ258" s="44"/>
      <c r="CR258" s="44"/>
      <c r="CS258" s="44"/>
      <c r="CT258" s="44"/>
      <c r="CU258" s="44"/>
      <c r="CV258" s="44"/>
      <c r="CW258" s="44"/>
      <c r="CX258" s="44"/>
      <c r="CY258" s="44"/>
      <c r="CZ258" s="44"/>
      <c r="DA258" s="44"/>
      <c r="DB258" s="44"/>
      <c r="DC258" s="44"/>
      <c r="DD258" s="44"/>
      <c r="DE258" s="44"/>
      <c r="DF258" s="44"/>
      <c r="DG258" s="44"/>
      <c r="DH258" s="44"/>
      <c r="DI258" s="44"/>
      <c r="DJ258" s="44"/>
      <c r="DK258" s="44"/>
      <c r="DL258" s="44"/>
      <c r="DM258" s="44"/>
      <c r="DN258" s="44"/>
      <c r="DO258" s="44"/>
      <c r="DP258" s="44"/>
      <c r="DQ258" s="44"/>
      <c r="DR258" s="44"/>
      <c r="DS258" s="44"/>
      <c r="DT258" s="44"/>
      <c r="DU258" s="44"/>
      <c r="DV258" s="44"/>
      <c r="DW258" s="44"/>
      <c r="DX258" s="44"/>
      <c r="DY258" s="44"/>
      <c r="DZ258" s="44"/>
      <c r="EA258" s="44"/>
      <c r="EB258" s="44"/>
      <c r="EC258" s="44"/>
      <c r="ED258" s="44"/>
      <c r="EE258" s="44"/>
      <c r="EF258" s="44"/>
      <c r="EG258" s="44"/>
    </row>
    <row r="259" spans="1:137">
      <c r="A259" s="14"/>
      <c r="B259" s="44"/>
      <c r="C259" s="44"/>
      <c r="D259" s="44"/>
      <c r="E259" s="44"/>
      <c r="F259" s="44"/>
      <c r="G259" s="44"/>
      <c r="H259" s="44"/>
      <c r="I259" s="44"/>
      <c r="J259" s="44"/>
      <c r="K259" s="44"/>
      <c r="L259" s="44"/>
      <c r="M259" s="44"/>
      <c r="N259" s="44"/>
      <c r="O259" s="44"/>
      <c r="P259" s="44"/>
      <c r="Q259" s="44"/>
      <c r="R259" s="44"/>
      <c r="S259" s="44"/>
      <c r="T259" s="20"/>
      <c r="U259" s="20"/>
      <c r="V259" s="20"/>
      <c r="W259" s="20"/>
      <c r="X259" s="20"/>
      <c r="Y259" s="27"/>
      <c r="Z259" s="27"/>
      <c r="AA259" s="27"/>
      <c r="AB259" s="27"/>
      <c r="AC259" s="27"/>
      <c r="AD259" s="27"/>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44"/>
      <c r="BV259" s="44"/>
      <c r="BW259" s="44"/>
      <c r="BX259" s="44"/>
      <c r="BY259" s="44"/>
      <c r="BZ259" s="44"/>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44"/>
      <c r="DG259" s="44"/>
      <c r="DH259" s="44"/>
      <c r="DI259" s="44"/>
      <c r="DJ259" s="44"/>
      <c r="DK259" s="44"/>
      <c r="DL259" s="44"/>
      <c r="DM259" s="44"/>
      <c r="DN259" s="44"/>
      <c r="DO259" s="44"/>
      <c r="DP259" s="44"/>
      <c r="DQ259" s="44"/>
      <c r="DR259" s="44"/>
      <c r="DS259" s="44"/>
      <c r="DT259" s="44"/>
      <c r="DU259" s="44"/>
      <c r="DV259" s="44"/>
      <c r="DW259" s="44"/>
      <c r="DX259" s="44"/>
      <c r="DY259" s="44"/>
      <c r="DZ259" s="44"/>
      <c r="EA259" s="44"/>
      <c r="EB259" s="44"/>
      <c r="EC259" s="44"/>
      <c r="ED259" s="44"/>
      <c r="EE259" s="44"/>
      <c r="EF259" s="44"/>
      <c r="EG259" s="44"/>
    </row>
    <row r="260" spans="1:137">
      <c r="A260" s="14"/>
      <c r="B260" s="44"/>
      <c r="C260" s="44"/>
      <c r="D260" s="44"/>
      <c r="E260" s="44"/>
      <c r="F260" s="44"/>
      <c r="G260" s="44"/>
      <c r="H260" s="44"/>
      <c r="I260" s="44"/>
      <c r="J260" s="44"/>
      <c r="K260" s="44"/>
      <c r="L260" s="44"/>
      <c r="M260" s="44"/>
      <c r="N260" s="44"/>
      <c r="O260" s="44"/>
      <c r="P260" s="44"/>
      <c r="Q260" s="44"/>
      <c r="R260" s="44"/>
      <c r="S260" s="44"/>
      <c r="T260" s="20"/>
      <c r="U260" s="20"/>
      <c r="V260" s="20"/>
      <c r="W260" s="20"/>
      <c r="X260" s="20"/>
      <c r="Y260" s="27"/>
      <c r="Z260" s="27"/>
      <c r="AA260" s="27"/>
      <c r="AB260" s="27"/>
      <c r="AC260" s="27"/>
      <c r="AD260" s="27"/>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44"/>
      <c r="BV260" s="44"/>
      <c r="BW260" s="44"/>
      <c r="BX260" s="44"/>
      <c r="BY260" s="44"/>
      <c r="BZ260" s="44"/>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4"/>
      <c r="DH260" s="44"/>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row>
    <row r="261" spans="1:137">
      <c r="A261" s="14"/>
      <c r="B261" s="44"/>
      <c r="C261" s="44"/>
      <c r="D261" s="44"/>
      <c r="E261" s="44"/>
      <c r="F261" s="44"/>
      <c r="G261" s="44"/>
      <c r="H261" s="44"/>
      <c r="I261" s="44"/>
      <c r="J261" s="44"/>
      <c r="K261" s="44"/>
      <c r="L261" s="44"/>
      <c r="M261" s="44"/>
      <c r="N261" s="44"/>
      <c r="O261" s="44"/>
      <c r="P261" s="44"/>
      <c r="Q261" s="44"/>
      <c r="R261" s="44"/>
      <c r="S261" s="44"/>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44"/>
      <c r="BV261" s="44"/>
      <c r="BW261" s="44"/>
      <c r="BX261" s="44"/>
      <c r="BY261" s="44"/>
      <c r="BZ261" s="44"/>
      <c r="CA261" s="44"/>
      <c r="CB261" s="44"/>
      <c r="CC261" s="44"/>
      <c r="CD261" s="44"/>
      <c r="CE261" s="44"/>
      <c r="CF261" s="44"/>
      <c r="CG261" s="44"/>
      <c r="CH261" s="44"/>
      <c r="CI261" s="44"/>
      <c r="CJ261" s="44"/>
      <c r="CK261" s="44"/>
      <c r="CL261" s="44"/>
      <c r="CM261" s="44"/>
      <c r="CN261" s="44"/>
      <c r="CO261" s="44"/>
      <c r="CP261" s="44"/>
      <c r="CQ261" s="44"/>
      <c r="CR261" s="44"/>
      <c r="CS261" s="44"/>
      <c r="CT261" s="44"/>
      <c r="CU261" s="44"/>
      <c r="CV261" s="44"/>
      <c r="CW261" s="44"/>
      <c r="CX261" s="44"/>
      <c r="CY261" s="44"/>
      <c r="CZ261" s="44"/>
      <c r="DA261" s="44"/>
      <c r="DB261" s="44"/>
      <c r="DC261" s="44"/>
      <c r="DD261" s="44"/>
      <c r="DE261" s="44"/>
      <c r="DF261" s="44"/>
      <c r="DG261" s="44"/>
      <c r="DH261" s="44"/>
      <c r="DI261" s="44"/>
      <c r="DJ261" s="44"/>
      <c r="DK261" s="44"/>
      <c r="DL261" s="44"/>
      <c r="DM261" s="44"/>
      <c r="DN261" s="44"/>
      <c r="DO261" s="44"/>
      <c r="DP261" s="44"/>
      <c r="DQ261" s="44"/>
      <c r="DR261" s="44"/>
      <c r="DS261" s="44"/>
      <c r="DT261" s="44"/>
      <c r="DU261" s="44"/>
      <c r="DV261" s="44"/>
      <c r="DW261" s="44"/>
      <c r="DX261" s="44"/>
      <c r="DY261" s="44"/>
      <c r="DZ261" s="44"/>
      <c r="EA261" s="44"/>
      <c r="EB261" s="44"/>
      <c r="EC261" s="44"/>
      <c r="ED261" s="44"/>
      <c r="EE261" s="44"/>
      <c r="EF261" s="44"/>
      <c r="EG261" s="44"/>
    </row>
    <row r="262" spans="1:137">
      <c r="A262" s="14"/>
      <c r="B262" s="44"/>
      <c r="C262" s="44"/>
      <c r="D262" s="44"/>
      <c r="E262" s="44"/>
      <c r="F262" s="44"/>
      <c r="G262" s="44"/>
      <c r="H262" s="44"/>
      <c r="I262" s="44"/>
      <c r="J262" s="44"/>
      <c r="K262" s="44"/>
      <c r="L262" s="44"/>
      <c r="M262" s="44"/>
      <c r="N262" s="44"/>
      <c r="O262" s="44"/>
      <c r="P262" s="44"/>
      <c r="Q262" s="44"/>
      <c r="R262" s="44"/>
      <c r="S262" s="44"/>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44"/>
      <c r="BV262" s="44"/>
      <c r="BW262" s="44"/>
      <c r="BX262" s="44"/>
      <c r="BY262" s="44"/>
      <c r="BZ262" s="44"/>
      <c r="CA262" s="44"/>
      <c r="CB262" s="44"/>
      <c r="CC262" s="44"/>
      <c r="CD262" s="44"/>
      <c r="CE262" s="44"/>
      <c r="CF262" s="44"/>
      <c r="CG262" s="44"/>
      <c r="CH262" s="44"/>
      <c r="CI262" s="44"/>
      <c r="CJ262" s="44"/>
      <c r="CK262" s="44"/>
      <c r="CL262" s="44"/>
      <c r="CM262" s="44"/>
      <c r="CN262" s="44"/>
      <c r="CO262" s="44"/>
      <c r="CP262" s="44"/>
      <c r="CQ262" s="44"/>
      <c r="CR262" s="44"/>
      <c r="CS262" s="44"/>
      <c r="CT262" s="44"/>
      <c r="CU262" s="44"/>
      <c r="CV262" s="44"/>
      <c r="CW262" s="44"/>
      <c r="CX262" s="44"/>
      <c r="CY262" s="44"/>
      <c r="CZ262" s="44"/>
      <c r="DA262" s="44"/>
      <c r="DB262" s="44"/>
      <c r="DC262" s="44"/>
      <c r="DD262" s="44"/>
      <c r="DE262" s="44"/>
      <c r="DF262" s="44"/>
      <c r="DG262" s="44"/>
      <c r="DH262" s="44"/>
      <c r="DI262" s="44"/>
      <c r="DJ262" s="44"/>
      <c r="DK262" s="44"/>
      <c r="DL262" s="44"/>
      <c r="DM262" s="44"/>
      <c r="DN262" s="44"/>
      <c r="DO262" s="44"/>
      <c r="DP262" s="44"/>
      <c r="DQ262" s="44"/>
      <c r="DR262" s="44"/>
      <c r="DS262" s="44"/>
      <c r="DT262" s="44"/>
      <c r="DU262" s="44"/>
      <c r="DV262" s="44"/>
      <c r="DW262" s="44"/>
      <c r="DX262" s="44"/>
      <c r="DY262" s="44"/>
      <c r="DZ262" s="44"/>
      <c r="EA262" s="44"/>
      <c r="EB262" s="44"/>
      <c r="EC262" s="44"/>
      <c r="ED262" s="44"/>
      <c r="EE262" s="44"/>
      <c r="EF262" s="44"/>
      <c r="EG262" s="44"/>
    </row>
    <row r="263" spans="1:137">
      <c r="A263" s="14"/>
      <c r="B263" s="44"/>
      <c r="C263" s="44"/>
      <c r="D263" s="44"/>
      <c r="E263" s="44"/>
      <c r="F263" s="44"/>
      <c r="G263" s="44"/>
      <c r="H263" s="44"/>
      <c r="I263" s="44"/>
      <c r="J263" s="44"/>
      <c r="K263" s="44"/>
      <c r="L263" s="44"/>
      <c r="M263" s="44"/>
      <c r="N263" s="44"/>
      <c r="O263" s="44"/>
      <c r="P263" s="44"/>
      <c r="Q263" s="44"/>
      <c r="R263" s="44"/>
      <c r="S263" s="44"/>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44"/>
      <c r="BV263" s="44"/>
      <c r="BW263" s="44"/>
      <c r="BX263" s="44"/>
      <c r="BY263" s="44"/>
      <c r="BZ263" s="44"/>
      <c r="CA263" s="44"/>
      <c r="CB263" s="44"/>
      <c r="CC263" s="44"/>
      <c r="CD263" s="44"/>
      <c r="CE263" s="44"/>
      <c r="CF263" s="44"/>
      <c r="CG263" s="44"/>
      <c r="CH263" s="44"/>
      <c r="CI263" s="44"/>
      <c r="CJ263" s="44"/>
      <c r="CK263" s="44"/>
      <c r="CL263" s="44"/>
      <c r="CM263" s="44"/>
      <c r="CN263" s="44"/>
      <c r="CO263" s="44"/>
      <c r="CP263" s="44"/>
      <c r="CQ263" s="44"/>
      <c r="CR263" s="44"/>
      <c r="CS263" s="44"/>
      <c r="CT263" s="44"/>
      <c r="CU263" s="44"/>
      <c r="CV263" s="44"/>
      <c r="CW263" s="44"/>
      <c r="CX263" s="44"/>
      <c r="CY263" s="44"/>
      <c r="CZ263" s="44"/>
      <c r="DA263" s="44"/>
      <c r="DB263" s="44"/>
      <c r="DC263" s="44"/>
      <c r="DD263" s="44"/>
      <c r="DE263" s="44"/>
      <c r="DF263" s="44"/>
      <c r="DG263" s="44"/>
      <c r="DH263" s="44"/>
      <c r="DI263" s="44"/>
      <c r="DJ263" s="44"/>
      <c r="DK263" s="44"/>
      <c r="DL263" s="44"/>
      <c r="DM263" s="44"/>
      <c r="DN263" s="44"/>
      <c r="DO263" s="44"/>
      <c r="DP263" s="44"/>
      <c r="DQ263" s="44"/>
      <c r="DR263" s="44"/>
      <c r="DS263" s="44"/>
      <c r="DT263" s="44"/>
      <c r="DU263" s="44"/>
      <c r="DV263" s="44"/>
      <c r="DW263" s="44"/>
      <c r="DX263" s="44"/>
      <c r="DY263" s="44"/>
      <c r="DZ263" s="44"/>
      <c r="EA263" s="44"/>
      <c r="EB263" s="44"/>
      <c r="EC263" s="44"/>
      <c r="ED263" s="44"/>
      <c r="EE263" s="44"/>
      <c r="EF263" s="44"/>
      <c r="EG263" s="44"/>
    </row>
    <row r="264" spans="1:137">
      <c r="A264" s="14"/>
      <c r="B264" s="44"/>
      <c r="C264" s="44"/>
      <c r="D264" s="44"/>
      <c r="E264" s="44"/>
      <c r="F264" s="44"/>
      <c r="G264" s="44"/>
      <c r="H264" s="44"/>
      <c r="I264" s="44"/>
      <c r="J264" s="44"/>
      <c r="K264" s="44"/>
      <c r="L264" s="44"/>
      <c r="M264" s="44"/>
      <c r="N264" s="44"/>
      <c r="O264" s="44"/>
      <c r="P264" s="44"/>
      <c r="Q264" s="44"/>
      <c r="R264" s="44"/>
      <c r="S264" s="44"/>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44"/>
      <c r="BV264" s="44"/>
      <c r="BW264" s="44"/>
      <c r="BX264" s="44"/>
      <c r="BY264" s="44"/>
      <c r="BZ264" s="44"/>
      <c r="CA264" s="44"/>
      <c r="CB264" s="44"/>
      <c r="CC264" s="44"/>
      <c r="CD264" s="44"/>
      <c r="CE264" s="44"/>
      <c r="CF264" s="44"/>
      <c r="CG264" s="44"/>
      <c r="CH264" s="44"/>
      <c r="CI264" s="44"/>
      <c r="CJ264" s="44"/>
      <c r="CK264" s="44"/>
      <c r="CL264" s="44"/>
      <c r="CM264" s="44"/>
      <c r="CN264" s="44"/>
      <c r="CO264" s="44"/>
      <c r="CP264" s="44"/>
      <c r="CQ264" s="44"/>
      <c r="CR264" s="44"/>
      <c r="CS264" s="44"/>
      <c r="CT264" s="44"/>
      <c r="CU264" s="44"/>
      <c r="CV264" s="44"/>
      <c r="CW264" s="44"/>
      <c r="CX264" s="44"/>
      <c r="CY264" s="44"/>
      <c r="CZ264" s="44"/>
      <c r="DA264" s="44"/>
      <c r="DB264" s="44"/>
      <c r="DC264" s="44"/>
      <c r="DD264" s="44"/>
      <c r="DE264" s="44"/>
      <c r="DF264" s="44"/>
      <c r="DG264" s="44"/>
      <c r="DH264" s="44"/>
      <c r="DI264" s="44"/>
      <c r="DJ264" s="44"/>
      <c r="DK264" s="44"/>
      <c r="DL264" s="44"/>
      <c r="DM264" s="44"/>
      <c r="DN264" s="44"/>
      <c r="DO264" s="44"/>
      <c r="DP264" s="44"/>
      <c r="DQ264" s="44"/>
      <c r="DR264" s="44"/>
      <c r="DS264" s="44"/>
      <c r="DT264" s="44"/>
      <c r="DU264" s="44"/>
      <c r="DV264" s="44"/>
      <c r="DW264" s="44"/>
      <c r="DX264" s="44"/>
      <c r="DY264" s="44"/>
      <c r="DZ264" s="44"/>
      <c r="EA264" s="44"/>
      <c r="EB264" s="44"/>
      <c r="EC264" s="44"/>
      <c r="ED264" s="44"/>
      <c r="EE264" s="44"/>
      <c r="EF264" s="44"/>
      <c r="EG264" s="44"/>
    </row>
    <row r="265" spans="1:137">
      <c r="A265" s="14"/>
      <c r="B265" s="44"/>
      <c r="C265" s="44"/>
      <c r="D265" s="44"/>
      <c r="E265" s="44"/>
      <c r="F265" s="44"/>
      <c r="G265" s="44"/>
      <c r="H265" s="44"/>
      <c r="I265" s="44"/>
      <c r="J265" s="44"/>
      <c r="K265" s="44"/>
      <c r="L265" s="44"/>
      <c r="M265" s="44"/>
      <c r="N265" s="44"/>
      <c r="O265" s="44"/>
      <c r="P265" s="44"/>
      <c r="Q265" s="44"/>
      <c r="R265" s="44"/>
      <c r="S265" s="44"/>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44"/>
      <c r="BV265" s="44"/>
      <c r="BW265" s="44"/>
      <c r="BX265" s="44"/>
      <c r="BY265" s="44"/>
      <c r="BZ265" s="44"/>
      <c r="CA265" s="44"/>
      <c r="CB265" s="44"/>
      <c r="CC265" s="44"/>
      <c r="CD265" s="44"/>
      <c r="CE265" s="44"/>
      <c r="CF265" s="44"/>
      <c r="CG265" s="44"/>
      <c r="CH265" s="44"/>
      <c r="CI265" s="44"/>
      <c r="CJ265" s="44"/>
      <c r="CK265" s="44"/>
      <c r="CL265" s="44"/>
      <c r="CM265" s="44"/>
      <c r="CN265" s="44"/>
      <c r="CO265" s="44"/>
      <c r="CP265" s="44"/>
      <c r="CQ265" s="44"/>
      <c r="CR265" s="44"/>
      <c r="CS265" s="44"/>
      <c r="CT265" s="44"/>
      <c r="CU265" s="44"/>
      <c r="CV265" s="44"/>
      <c r="CW265" s="44"/>
      <c r="CX265" s="44"/>
      <c r="CY265" s="44"/>
      <c r="CZ265" s="44"/>
      <c r="DA265" s="44"/>
      <c r="DB265" s="44"/>
      <c r="DC265" s="44"/>
      <c r="DD265" s="44"/>
      <c r="DE265" s="44"/>
      <c r="DF265" s="44"/>
      <c r="DG265" s="44"/>
      <c r="DH265" s="44"/>
      <c r="DI265" s="44"/>
      <c r="DJ265" s="44"/>
      <c r="DK265" s="44"/>
      <c r="DL265" s="44"/>
      <c r="DM265" s="44"/>
      <c r="DN265" s="44"/>
      <c r="DO265" s="44"/>
      <c r="DP265" s="44"/>
      <c r="DQ265" s="44"/>
      <c r="DR265" s="44"/>
      <c r="DS265" s="44"/>
      <c r="DT265" s="44"/>
      <c r="DU265" s="44"/>
      <c r="DV265" s="44"/>
      <c r="DW265" s="44"/>
      <c r="DX265" s="44"/>
      <c r="DY265" s="44"/>
      <c r="DZ265" s="44"/>
      <c r="EA265" s="44"/>
      <c r="EB265" s="44"/>
      <c r="EC265" s="44"/>
      <c r="ED265" s="44"/>
      <c r="EE265" s="44"/>
      <c r="EF265" s="44"/>
      <c r="EG265" s="44"/>
    </row>
    <row r="266" spans="1:137">
      <c r="A266" s="14"/>
      <c r="B266" s="44"/>
      <c r="C266" s="44"/>
      <c r="D266" s="44"/>
      <c r="E266" s="44"/>
      <c r="F266" s="44"/>
      <c r="G266" s="44"/>
      <c r="H266" s="44"/>
      <c r="I266" s="44"/>
      <c r="J266" s="44"/>
      <c r="K266" s="44"/>
      <c r="L266" s="44"/>
      <c r="M266" s="44"/>
      <c r="N266" s="44"/>
      <c r="O266" s="44"/>
      <c r="P266" s="44"/>
      <c r="Q266" s="44"/>
      <c r="R266" s="44"/>
      <c r="S266" s="44"/>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44"/>
      <c r="BV266" s="44"/>
      <c r="BW266" s="44"/>
      <c r="BX266" s="44"/>
      <c r="BY266" s="44"/>
      <c r="BZ266" s="44"/>
      <c r="CA266" s="44"/>
      <c r="CB266" s="44"/>
      <c r="CC266" s="44"/>
      <c r="CD266" s="44"/>
      <c r="CE266" s="44"/>
      <c r="CF266" s="44"/>
      <c r="CG266" s="44"/>
      <c r="CH266" s="44"/>
      <c r="CI266" s="44"/>
      <c r="CJ266" s="44"/>
      <c r="CK266" s="44"/>
      <c r="CL266" s="44"/>
      <c r="CM266" s="44"/>
      <c r="CN266" s="44"/>
      <c r="CO266" s="44"/>
      <c r="CP266" s="44"/>
      <c r="CQ266" s="44"/>
      <c r="CR266" s="44"/>
      <c r="CS266" s="44"/>
      <c r="CT266" s="44"/>
      <c r="CU266" s="44"/>
      <c r="CV266" s="44"/>
      <c r="CW266" s="44"/>
      <c r="CX266" s="44"/>
      <c r="CY266" s="44"/>
      <c r="CZ266" s="44"/>
      <c r="DA266" s="44"/>
      <c r="DB266" s="44"/>
      <c r="DC266" s="44"/>
      <c r="DD266" s="44"/>
      <c r="DE266" s="44"/>
      <c r="DF266" s="44"/>
      <c r="DG266" s="44"/>
      <c r="DH266" s="44"/>
      <c r="DI266" s="44"/>
      <c r="DJ266" s="44"/>
      <c r="DK266" s="44"/>
      <c r="DL266" s="44"/>
      <c r="DM266" s="44"/>
      <c r="DN266" s="44"/>
      <c r="DO266" s="44"/>
      <c r="DP266" s="44"/>
      <c r="DQ266" s="44"/>
      <c r="DR266" s="44"/>
      <c r="DS266" s="44"/>
      <c r="DT266" s="44"/>
      <c r="DU266" s="44"/>
      <c r="DV266" s="44"/>
      <c r="DW266" s="44"/>
      <c r="DX266" s="44"/>
      <c r="DY266" s="44"/>
      <c r="DZ266" s="44"/>
      <c r="EA266" s="44"/>
      <c r="EB266" s="44"/>
      <c r="EC266" s="44"/>
      <c r="ED266" s="44"/>
      <c r="EE266" s="44"/>
      <c r="EF266" s="44"/>
      <c r="EG266" s="44"/>
    </row>
    <row r="267" spans="1:137">
      <c r="A267" s="14"/>
      <c r="B267" s="44"/>
      <c r="C267" s="44"/>
      <c r="D267" s="44"/>
      <c r="E267" s="44"/>
      <c r="F267" s="44"/>
      <c r="G267" s="44"/>
      <c r="H267" s="44"/>
      <c r="I267" s="44"/>
      <c r="J267" s="44"/>
      <c r="K267" s="44"/>
      <c r="L267" s="44"/>
      <c r="M267" s="44"/>
      <c r="N267" s="44"/>
      <c r="O267" s="44"/>
      <c r="P267" s="44"/>
      <c r="Q267" s="44"/>
      <c r="R267" s="44"/>
      <c r="S267" s="44"/>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44"/>
      <c r="BV267" s="44"/>
      <c r="BW267" s="44"/>
      <c r="BX267" s="44"/>
      <c r="BY267" s="44"/>
      <c r="BZ267" s="44"/>
      <c r="CA267" s="44"/>
      <c r="CB267" s="44"/>
      <c r="CC267" s="44"/>
      <c r="CD267" s="44"/>
      <c r="CE267" s="44"/>
      <c r="CF267" s="44"/>
      <c r="CG267" s="44"/>
      <c r="CH267" s="44"/>
      <c r="CI267" s="44"/>
      <c r="CJ267" s="44"/>
      <c r="CK267" s="44"/>
      <c r="CL267" s="44"/>
      <c r="CM267" s="44"/>
      <c r="CN267" s="44"/>
      <c r="CO267" s="44"/>
      <c r="CP267" s="44"/>
      <c r="CQ267" s="44"/>
      <c r="CR267" s="44"/>
      <c r="CS267" s="44"/>
      <c r="CT267" s="44"/>
      <c r="CU267" s="44"/>
      <c r="CV267" s="44"/>
      <c r="CW267" s="44"/>
      <c r="CX267" s="44"/>
      <c r="CY267" s="44"/>
      <c r="CZ267" s="44"/>
      <c r="DA267" s="44"/>
      <c r="DB267" s="44"/>
      <c r="DC267" s="44"/>
      <c r="DD267" s="44"/>
      <c r="DE267" s="44"/>
      <c r="DF267" s="44"/>
      <c r="DG267" s="44"/>
      <c r="DH267" s="44"/>
      <c r="DI267" s="44"/>
      <c r="DJ267" s="44"/>
      <c r="DK267" s="44"/>
      <c r="DL267" s="44"/>
      <c r="DM267" s="44"/>
      <c r="DN267" s="44"/>
      <c r="DO267" s="44"/>
      <c r="DP267" s="44"/>
      <c r="DQ267" s="44"/>
      <c r="DR267" s="44"/>
      <c r="DS267" s="44"/>
      <c r="DT267" s="44"/>
      <c r="DU267" s="44"/>
      <c r="DV267" s="44"/>
      <c r="DW267" s="44"/>
      <c r="DX267" s="44"/>
      <c r="DY267" s="44"/>
      <c r="DZ267" s="44"/>
      <c r="EA267" s="44"/>
      <c r="EB267" s="44"/>
      <c r="EC267" s="44"/>
      <c r="ED267" s="44"/>
      <c r="EE267" s="44"/>
      <c r="EF267" s="44"/>
      <c r="EG267" s="44"/>
    </row>
    <row r="268" spans="1:137">
      <c r="A268" s="14"/>
      <c r="B268" s="44"/>
      <c r="C268" s="44"/>
      <c r="D268" s="44"/>
      <c r="E268" s="44"/>
      <c r="F268" s="44"/>
      <c r="G268" s="44"/>
      <c r="H268" s="44"/>
      <c r="I268" s="44"/>
      <c r="J268" s="44"/>
      <c r="K268" s="44"/>
      <c r="L268" s="44"/>
      <c r="M268" s="44"/>
      <c r="N268" s="44"/>
      <c r="O268" s="44"/>
      <c r="P268" s="44"/>
      <c r="Q268" s="44"/>
      <c r="R268" s="44"/>
      <c r="S268" s="44"/>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44"/>
      <c r="BV268" s="44"/>
      <c r="BW268" s="44"/>
      <c r="BX268" s="44"/>
      <c r="BY268" s="44"/>
      <c r="BZ268" s="44"/>
      <c r="CA268" s="44"/>
      <c r="CB268" s="44"/>
      <c r="CC268" s="44"/>
      <c r="CD268" s="44"/>
      <c r="CE268" s="44"/>
      <c r="CF268" s="44"/>
      <c r="CG268" s="44"/>
      <c r="CH268" s="44"/>
      <c r="CI268" s="44"/>
      <c r="CJ268" s="44"/>
      <c r="CK268" s="44"/>
      <c r="CL268" s="44"/>
      <c r="CM268" s="44"/>
      <c r="CN268" s="44"/>
      <c r="CO268" s="44"/>
      <c r="CP268" s="44"/>
      <c r="CQ268" s="44"/>
      <c r="CR268" s="44"/>
      <c r="CS268" s="44"/>
      <c r="CT268" s="44"/>
      <c r="CU268" s="44"/>
      <c r="CV268" s="44"/>
      <c r="CW268" s="44"/>
      <c r="CX268" s="44"/>
      <c r="CY268" s="44"/>
      <c r="CZ268" s="44"/>
      <c r="DA268" s="44"/>
      <c r="DB268" s="44"/>
      <c r="DC268" s="44"/>
      <c r="DD268" s="44"/>
      <c r="DE268" s="44"/>
      <c r="DF268" s="44"/>
      <c r="DG268" s="44"/>
      <c r="DH268" s="44"/>
      <c r="DI268" s="44"/>
      <c r="DJ268" s="44"/>
      <c r="DK268" s="44"/>
      <c r="DL268" s="44"/>
      <c r="DM268" s="44"/>
      <c r="DN268" s="44"/>
      <c r="DO268" s="44"/>
      <c r="DP268" s="44"/>
      <c r="DQ268" s="44"/>
      <c r="DR268" s="44"/>
      <c r="DS268" s="44"/>
      <c r="DT268" s="44"/>
      <c r="DU268" s="44"/>
      <c r="DV268" s="44"/>
      <c r="DW268" s="44"/>
      <c r="DX268" s="44"/>
      <c r="DY268" s="44"/>
      <c r="DZ268" s="44"/>
      <c r="EA268" s="44"/>
      <c r="EB268" s="44"/>
      <c r="EC268" s="44"/>
      <c r="ED268" s="44"/>
      <c r="EE268" s="44"/>
      <c r="EF268" s="44"/>
      <c r="EG268" s="44"/>
    </row>
    <row r="269" spans="1:137">
      <c r="A269" s="14"/>
      <c r="B269" s="44"/>
      <c r="C269" s="44"/>
      <c r="D269" s="44"/>
      <c r="E269" s="44"/>
      <c r="F269" s="44"/>
      <c r="G269" s="44"/>
      <c r="H269" s="44"/>
      <c r="I269" s="44"/>
      <c r="J269" s="44"/>
      <c r="K269" s="44"/>
      <c r="L269" s="44"/>
      <c r="M269" s="44"/>
      <c r="N269" s="44"/>
      <c r="O269" s="44"/>
      <c r="P269" s="44"/>
      <c r="Q269" s="44"/>
      <c r="R269" s="44"/>
      <c r="S269" s="44"/>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44"/>
      <c r="BV269" s="44"/>
      <c r="BW269" s="44"/>
      <c r="BX269" s="44"/>
      <c r="BY269" s="44"/>
      <c r="BZ269" s="44"/>
      <c r="CA269" s="44"/>
      <c r="CB269" s="44"/>
      <c r="CC269" s="44"/>
      <c r="CD269" s="44"/>
      <c r="CE269" s="44"/>
      <c r="CF269" s="44"/>
      <c r="CG269" s="44"/>
      <c r="CH269" s="44"/>
      <c r="CI269" s="44"/>
      <c r="CJ269" s="44"/>
      <c r="CK269" s="44"/>
      <c r="CL269" s="44"/>
      <c r="CM269" s="44"/>
      <c r="CN269" s="44"/>
      <c r="CO269" s="44"/>
      <c r="CP269" s="44"/>
      <c r="CQ269" s="44"/>
      <c r="CR269" s="44"/>
      <c r="CS269" s="44"/>
      <c r="CT269" s="44"/>
      <c r="CU269" s="44"/>
      <c r="CV269" s="44"/>
      <c r="CW269" s="44"/>
      <c r="CX269" s="44"/>
      <c r="CY269" s="44"/>
      <c r="CZ269" s="44"/>
      <c r="DA269" s="44"/>
      <c r="DB269" s="44"/>
      <c r="DC269" s="44"/>
      <c r="DD269" s="44"/>
      <c r="DE269" s="44"/>
      <c r="DF269" s="44"/>
      <c r="DG269" s="44"/>
      <c r="DH269" s="44"/>
      <c r="DI269" s="44"/>
      <c r="DJ269" s="44"/>
      <c r="DK269" s="44"/>
      <c r="DL269" s="44"/>
      <c r="DM269" s="44"/>
      <c r="DN269" s="44"/>
      <c r="DO269" s="44"/>
      <c r="DP269" s="44"/>
      <c r="DQ269" s="44"/>
      <c r="DR269" s="44"/>
      <c r="DS269" s="44"/>
      <c r="DT269" s="44"/>
      <c r="DU269" s="44"/>
      <c r="DV269" s="44"/>
      <c r="DW269" s="44"/>
      <c r="DX269" s="44"/>
      <c r="DY269" s="44"/>
      <c r="DZ269" s="44"/>
      <c r="EA269" s="44"/>
      <c r="EB269" s="44"/>
      <c r="EC269" s="44"/>
      <c r="ED269" s="44"/>
      <c r="EE269" s="44"/>
      <c r="EF269" s="44"/>
      <c r="EG269" s="44"/>
    </row>
    <row r="270" spans="1:137">
      <c r="A270" s="14"/>
      <c r="B270" s="44"/>
      <c r="C270" s="44"/>
      <c r="D270" s="44"/>
      <c r="E270" s="44"/>
      <c r="F270" s="44"/>
      <c r="G270" s="44"/>
      <c r="H270" s="44"/>
      <c r="I270" s="44"/>
      <c r="J270" s="44"/>
      <c r="K270" s="44"/>
      <c r="L270" s="44"/>
      <c r="M270" s="44"/>
      <c r="N270" s="44"/>
      <c r="O270" s="44"/>
      <c r="P270" s="44"/>
      <c r="Q270" s="44"/>
      <c r="R270" s="44"/>
      <c r="S270" s="44"/>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44"/>
      <c r="BV270" s="44"/>
      <c r="BW270" s="44"/>
      <c r="BX270" s="44"/>
      <c r="BY270" s="44"/>
      <c r="BZ270" s="44"/>
      <c r="CA270" s="44"/>
      <c r="CB270" s="44"/>
      <c r="CC270" s="44"/>
      <c r="CD270" s="44"/>
      <c r="CE270" s="44"/>
      <c r="CF270" s="44"/>
      <c r="CG270" s="44"/>
      <c r="CH270" s="44"/>
      <c r="CI270" s="44"/>
      <c r="CJ270" s="44"/>
      <c r="CK270" s="44"/>
      <c r="CL270" s="44"/>
      <c r="CM270" s="44"/>
      <c r="CN270" s="44"/>
      <c r="CO270" s="44"/>
      <c r="CP270" s="44"/>
      <c r="CQ270" s="44"/>
      <c r="CR270" s="44"/>
      <c r="CS270" s="44"/>
      <c r="CT270" s="44"/>
      <c r="CU270" s="44"/>
      <c r="CV270" s="44"/>
      <c r="CW270" s="44"/>
      <c r="CX270" s="44"/>
      <c r="CY270" s="44"/>
      <c r="CZ270" s="44"/>
      <c r="DA270" s="44"/>
      <c r="DB270" s="44"/>
      <c r="DC270" s="44"/>
      <c r="DD270" s="44"/>
      <c r="DE270" s="44"/>
      <c r="DF270" s="44"/>
      <c r="DG270" s="44"/>
      <c r="DH270" s="44"/>
      <c r="DI270" s="44"/>
      <c r="DJ270" s="44"/>
      <c r="DK270" s="44"/>
      <c r="DL270" s="44"/>
      <c r="DM270" s="44"/>
      <c r="DN270" s="44"/>
      <c r="DO270" s="44"/>
      <c r="DP270" s="44"/>
      <c r="DQ270" s="44"/>
      <c r="DR270" s="44"/>
      <c r="DS270" s="44"/>
      <c r="DT270" s="44"/>
      <c r="DU270" s="44"/>
      <c r="DV270" s="44"/>
      <c r="DW270" s="44"/>
      <c r="DX270" s="44"/>
      <c r="DY270" s="44"/>
      <c r="DZ270" s="44"/>
      <c r="EA270" s="44"/>
      <c r="EB270" s="44"/>
      <c r="EC270" s="44"/>
      <c r="ED270" s="44"/>
      <c r="EE270" s="44"/>
      <c r="EF270" s="44"/>
      <c r="EG270" s="44"/>
    </row>
    <row r="271" spans="1:137">
      <c r="A271" s="14"/>
      <c r="B271" s="44"/>
      <c r="C271" s="44"/>
      <c r="D271" s="44"/>
      <c r="E271" s="44"/>
      <c r="F271" s="44"/>
      <c r="G271" s="44"/>
      <c r="H271" s="44"/>
      <c r="I271" s="44"/>
      <c r="J271" s="44"/>
      <c r="K271" s="44"/>
      <c r="L271" s="44"/>
      <c r="M271" s="44"/>
      <c r="N271" s="44"/>
      <c r="O271" s="44"/>
      <c r="P271" s="44"/>
      <c r="Q271" s="44"/>
      <c r="R271" s="44"/>
      <c r="S271" s="44"/>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44"/>
      <c r="BV271" s="44"/>
      <c r="BW271" s="44"/>
      <c r="BX271" s="44"/>
      <c r="BY271" s="44"/>
      <c r="BZ271" s="44"/>
      <c r="CA271" s="44"/>
      <c r="CB271" s="44"/>
      <c r="CC271" s="44"/>
      <c r="CD271" s="44"/>
      <c r="CE271" s="44"/>
      <c r="CF271" s="44"/>
      <c r="CG271" s="44"/>
      <c r="CH271" s="44"/>
      <c r="CI271" s="44"/>
      <c r="CJ271" s="44"/>
      <c r="CK271" s="44"/>
      <c r="CL271" s="44"/>
      <c r="CM271" s="44"/>
      <c r="CN271" s="44"/>
      <c r="CO271" s="44"/>
      <c r="CP271" s="44"/>
      <c r="CQ271" s="44"/>
      <c r="CR271" s="44"/>
      <c r="CS271" s="44"/>
      <c r="CT271" s="44"/>
      <c r="CU271" s="44"/>
      <c r="CV271" s="44"/>
      <c r="CW271" s="44"/>
      <c r="CX271" s="44"/>
      <c r="CY271" s="44"/>
      <c r="CZ271" s="44"/>
      <c r="DA271" s="44"/>
      <c r="DB271" s="44"/>
      <c r="DC271" s="44"/>
      <c r="DD271" s="44"/>
      <c r="DE271" s="44"/>
      <c r="DF271" s="44"/>
      <c r="DG271" s="44"/>
      <c r="DH271" s="44"/>
      <c r="DI271" s="44"/>
      <c r="DJ271" s="44"/>
      <c r="DK271" s="44"/>
      <c r="DL271" s="44"/>
      <c r="DM271" s="44"/>
      <c r="DN271" s="44"/>
      <c r="DO271" s="44"/>
      <c r="DP271" s="44"/>
      <c r="DQ271" s="44"/>
      <c r="DR271" s="44"/>
      <c r="DS271" s="44"/>
      <c r="DT271" s="44"/>
      <c r="DU271" s="44"/>
      <c r="DV271" s="44"/>
      <c r="DW271" s="44"/>
      <c r="DX271" s="44"/>
      <c r="DY271" s="44"/>
      <c r="DZ271" s="44"/>
      <c r="EA271" s="44"/>
      <c r="EB271" s="44"/>
      <c r="EC271" s="44"/>
      <c r="ED271" s="44"/>
      <c r="EE271" s="44"/>
      <c r="EF271" s="44"/>
      <c r="EG271" s="44"/>
    </row>
    <row r="272" spans="1:137">
      <c r="A272" s="14"/>
      <c r="B272" s="44"/>
      <c r="C272" s="44"/>
      <c r="D272" s="44"/>
      <c r="E272" s="44"/>
      <c r="F272" s="44"/>
      <c r="G272" s="44"/>
      <c r="H272" s="44"/>
      <c r="I272" s="44"/>
      <c r="J272" s="44"/>
      <c r="K272" s="44"/>
      <c r="L272" s="44"/>
      <c r="M272" s="44"/>
      <c r="N272" s="44"/>
      <c r="O272" s="44"/>
      <c r="P272" s="44"/>
      <c r="Q272" s="44"/>
      <c r="R272" s="44"/>
      <c r="S272" s="44"/>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44"/>
      <c r="BV272" s="44"/>
      <c r="BW272" s="44"/>
      <c r="BX272" s="44"/>
      <c r="BY272" s="44"/>
      <c r="BZ272" s="44"/>
      <c r="CA272" s="44"/>
      <c r="CB272" s="44"/>
      <c r="CC272" s="44"/>
      <c r="CD272" s="44"/>
      <c r="CE272" s="44"/>
      <c r="CF272" s="44"/>
      <c r="CG272" s="44"/>
      <c r="CH272" s="44"/>
      <c r="CI272" s="44"/>
      <c r="CJ272" s="44"/>
      <c r="CK272" s="44"/>
      <c r="CL272" s="44"/>
      <c r="CM272" s="44"/>
      <c r="CN272" s="44"/>
      <c r="CO272" s="44"/>
      <c r="CP272" s="44"/>
      <c r="CQ272" s="44"/>
      <c r="CR272" s="44"/>
      <c r="CS272" s="44"/>
      <c r="CT272" s="44"/>
      <c r="CU272" s="44"/>
      <c r="CV272" s="44"/>
      <c r="CW272" s="44"/>
      <c r="CX272" s="44"/>
      <c r="CY272" s="44"/>
      <c r="CZ272" s="44"/>
      <c r="DA272" s="44"/>
      <c r="DB272" s="44"/>
      <c r="DC272" s="44"/>
      <c r="DD272" s="44"/>
      <c r="DE272" s="44"/>
      <c r="DF272" s="44"/>
      <c r="DG272" s="44"/>
      <c r="DH272" s="44"/>
      <c r="DI272" s="44"/>
      <c r="DJ272" s="44"/>
      <c r="DK272" s="44"/>
      <c r="DL272" s="44"/>
      <c r="DM272" s="44"/>
      <c r="DN272" s="44"/>
      <c r="DO272" s="44"/>
      <c r="DP272" s="44"/>
      <c r="DQ272" s="44"/>
      <c r="DR272" s="44"/>
      <c r="DS272" s="44"/>
      <c r="DT272" s="44"/>
      <c r="DU272" s="44"/>
      <c r="DV272" s="44"/>
      <c r="DW272" s="44"/>
      <c r="DX272" s="44"/>
      <c r="DY272" s="44"/>
      <c r="DZ272" s="44"/>
      <c r="EA272" s="44"/>
      <c r="EB272" s="44"/>
      <c r="EC272" s="44"/>
      <c r="ED272" s="44"/>
      <c r="EE272" s="44"/>
      <c r="EF272" s="44"/>
      <c r="EG272" s="44"/>
    </row>
    <row r="273" spans="1:137">
      <c r="A273" s="14"/>
      <c r="B273" s="44"/>
      <c r="C273" s="44"/>
      <c r="D273" s="44"/>
      <c r="E273" s="44"/>
      <c r="F273" s="44"/>
      <c r="G273" s="44"/>
      <c r="H273" s="44"/>
      <c r="I273" s="44"/>
      <c r="J273" s="44"/>
      <c r="K273" s="44"/>
      <c r="L273" s="44"/>
      <c r="M273" s="44"/>
      <c r="N273" s="44"/>
      <c r="O273" s="44"/>
      <c r="P273" s="44"/>
      <c r="Q273" s="44"/>
      <c r="R273" s="44"/>
      <c r="S273" s="44"/>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44"/>
      <c r="BV273" s="44"/>
      <c r="BW273" s="44"/>
      <c r="BX273" s="44"/>
      <c r="BY273" s="44"/>
      <c r="BZ273" s="44"/>
      <c r="CA273" s="44"/>
      <c r="CB273" s="44"/>
      <c r="CC273" s="44"/>
      <c r="CD273" s="44"/>
      <c r="CE273" s="44"/>
      <c r="CF273" s="44"/>
      <c r="CG273" s="44"/>
      <c r="CH273" s="44"/>
      <c r="CI273" s="44"/>
      <c r="CJ273" s="44"/>
      <c r="CK273" s="44"/>
      <c r="CL273" s="44"/>
      <c r="CM273" s="44"/>
      <c r="CN273" s="44"/>
      <c r="CO273" s="44"/>
      <c r="CP273" s="44"/>
      <c r="CQ273" s="44"/>
      <c r="CR273" s="44"/>
      <c r="CS273" s="44"/>
      <c r="CT273" s="44"/>
      <c r="CU273" s="44"/>
      <c r="CV273" s="44"/>
      <c r="CW273" s="44"/>
      <c r="CX273" s="44"/>
      <c r="CY273" s="44"/>
      <c r="CZ273" s="44"/>
      <c r="DA273" s="44"/>
      <c r="DB273" s="44"/>
      <c r="DC273" s="44"/>
      <c r="DD273" s="44"/>
      <c r="DE273" s="44"/>
      <c r="DF273" s="44"/>
      <c r="DG273" s="44"/>
      <c r="DH273" s="44"/>
      <c r="DI273" s="44"/>
      <c r="DJ273" s="44"/>
      <c r="DK273" s="44"/>
      <c r="DL273" s="44"/>
      <c r="DM273" s="44"/>
      <c r="DN273" s="44"/>
      <c r="DO273" s="44"/>
      <c r="DP273" s="44"/>
      <c r="DQ273" s="44"/>
      <c r="DR273" s="44"/>
      <c r="DS273" s="44"/>
      <c r="DT273" s="44"/>
      <c r="DU273" s="44"/>
      <c r="DV273" s="44"/>
      <c r="DW273" s="44"/>
      <c r="DX273" s="44"/>
      <c r="DY273" s="44"/>
      <c r="DZ273" s="44"/>
      <c r="EA273" s="44"/>
      <c r="EB273" s="44"/>
      <c r="EC273" s="44"/>
      <c r="ED273" s="44"/>
      <c r="EE273" s="44"/>
      <c r="EF273" s="44"/>
      <c r="EG273" s="44"/>
    </row>
    <row r="274" spans="1:137">
      <c r="A274" s="14"/>
      <c r="B274" s="44"/>
      <c r="C274" s="44"/>
      <c r="D274" s="44"/>
      <c r="E274" s="44"/>
      <c r="F274" s="44"/>
      <c r="G274" s="44"/>
      <c r="H274" s="44"/>
      <c r="I274" s="44"/>
      <c r="J274" s="44"/>
      <c r="K274" s="44"/>
      <c r="L274" s="44"/>
      <c r="M274" s="44"/>
      <c r="N274" s="44"/>
      <c r="O274" s="44"/>
      <c r="P274" s="44"/>
      <c r="Q274" s="44"/>
      <c r="R274" s="44"/>
      <c r="S274" s="44"/>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44"/>
      <c r="BV274" s="44"/>
      <c r="BW274" s="44"/>
      <c r="BX274" s="44"/>
      <c r="BY274" s="44"/>
      <c r="BZ274" s="44"/>
      <c r="CA274" s="44"/>
      <c r="CB274" s="44"/>
      <c r="CC274" s="44"/>
      <c r="CD274" s="44"/>
      <c r="CE274" s="44"/>
      <c r="CF274" s="44"/>
      <c r="CG274" s="44"/>
      <c r="CH274" s="44"/>
      <c r="CI274" s="44"/>
      <c r="CJ274" s="44"/>
      <c r="CK274" s="44"/>
      <c r="CL274" s="44"/>
      <c r="CM274" s="44"/>
      <c r="CN274" s="44"/>
      <c r="CO274" s="44"/>
      <c r="CP274" s="44"/>
      <c r="CQ274" s="44"/>
      <c r="CR274" s="44"/>
      <c r="CS274" s="44"/>
      <c r="CT274" s="44"/>
      <c r="CU274" s="44"/>
      <c r="CV274" s="44"/>
      <c r="CW274" s="44"/>
      <c r="CX274" s="44"/>
      <c r="CY274" s="44"/>
      <c r="CZ274" s="44"/>
      <c r="DA274" s="44"/>
      <c r="DB274" s="44"/>
      <c r="DC274" s="44"/>
      <c r="DD274" s="44"/>
      <c r="DE274" s="44"/>
      <c r="DF274" s="44"/>
      <c r="DG274" s="44"/>
      <c r="DH274" s="44"/>
      <c r="DI274" s="44"/>
      <c r="DJ274" s="44"/>
      <c r="DK274" s="44"/>
      <c r="DL274" s="44"/>
      <c r="DM274" s="44"/>
      <c r="DN274" s="44"/>
      <c r="DO274" s="44"/>
      <c r="DP274" s="44"/>
      <c r="DQ274" s="44"/>
      <c r="DR274" s="44"/>
      <c r="DS274" s="44"/>
      <c r="DT274" s="44"/>
      <c r="DU274" s="44"/>
      <c r="DV274" s="44"/>
      <c r="DW274" s="44"/>
      <c r="DX274" s="44"/>
      <c r="DY274" s="44"/>
      <c r="DZ274" s="44"/>
      <c r="EA274" s="44"/>
      <c r="EB274" s="44"/>
      <c r="EC274" s="44"/>
      <c r="ED274" s="44"/>
      <c r="EE274" s="44"/>
      <c r="EF274" s="44"/>
      <c r="EG274" s="44"/>
    </row>
    <row r="275" spans="1:137">
      <c r="A275" s="14"/>
      <c r="B275" s="44"/>
      <c r="C275" s="44"/>
      <c r="D275" s="44"/>
      <c r="E275" s="44"/>
      <c r="F275" s="44"/>
      <c r="G275" s="44"/>
      <c r="H275" s="44"/>
      <c r="I275" s="44"/>
      <c r="J275" s="44"/>
      <c r="K275" s="44"/>
      <c r="L275" s="44"/>
      <c r="M275" s="44"/>
      <c r="N275" s="44"/>
      <c r="O275" s="44"/>
      <c r="P275" s="44"/>
      <c r="Q275" s="44"/>
      <c r="R275" s="44"/>
      <c r="S275" s="44"/>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44"/>
      <c r="BV275" s="44"/>
      <c r="BW275" s="44"/>
      <c r="BX275" s="44"/>
      <c r="BY275" s="44"/>
      <c r="BZ275" s="44"/>
      <c r="CA275" s="44"/>
      <c r="CB275" s="44"/>
      <c r="CC275" s="44"/>
      <c r="CD275" s="44"/>
      <c r="CE275" s="44"/>
      <c r="CF275" s="44"/>
      <c r="CG275" s="44"/>
      <c r="CH275" s="44"/>
      <c r="CI275" s="44"/>
      <c r="CJ275" s="44"/>
      <c r="CK275" s="44"/>
      <c r="CL275" s="44"/>
      <c r="CM275" s="44"/>
      <c r="CN275" s="44"/>
      <c r="CO275" s="44"/>
      <c r="CP275" s="44"/>
      <c r="CQ275" s="44"/>
      <c r="CR275" s="44"/>
      <c r="CS275" s="44"/>
      <c r="CT275" s="44"/>
      <c r="CU275" s="44"/>
      <c r="CV275" s="44"/>
      <c r="CW275" s="44"/>
      <c r="CX275" s="44"/>
      <c r="CY275" s="44"/>
      <c r="CZ275" s="44"/>
      <c r="DA275" s="44"/>
      <c r="DB275" s="44"/>
      <c r="DC275" s="44"/>
      <c r="DD275" s="44"/>
      <c r="DE275" s="44"/>
      <c r="DF275" s="44"/>
      <c r="DG275" s="44"/>
      <c r="DH275" s="44"/>
      <c r="DI275" s="44"/>
      <c r="DJ275" s="44"/>
      <c r="DK275" s="44"/>
      <c r="DL275" s="44"/>
      <c r="DM275" s="44"/>
      <c r="DN275" s="44"/>
      <c r="DO275" s="44"/>
      <c r="DP275" s="44"/>
      <c r="DQ275" s="44"/>
      <c r="DR275" s="44"/>
      <c r="DS275" s="44"/>
      <c r="DT275" s="44"/>
      <c r="DU275" s="44"/>
      <c r="DV275" s="44"/>
      <c r="DW275" s="44"/>
      <c r="DX275" s="44"/>
      <c r="DY275" s="44"/>
      <c r="DZ275" s="44"/>
      <c r="EA275" s="44"/>
      <c r="EB275" s="44"/>
      <c r="EC275" s="44"/>
      <c r="ED275" s="44"/>
      <c r="EE275" s="44"/>
      <c r="EF275" s="44"/>
      <c r="EG275" s="44"/>
    </row>
    <row r="276" spans="1:137">
      <c r="A276" s="14"/>
      <c r="B276" s="44"/>
      <c r="C276" s="44"/>
      <c r="D276" s="44"/>
      <c r="E276" s="44"/>
      <c r="F276" s="44"/>
      <c r="G276" s="44"/>
      <c r="H276" s="44"/>
      <c r="I276" s="44"/>
      <c r="J276" s="44"/>
      <c r="K276" s="44"/>
      <c r="L276" s="44"/>
      <c r="M276" s="44"/>
      <c r="N276" s="44"/>
      <c r="O276" s="44"/>
      <c r="P276" s="44"/>
      <c r="Q276" s="44"/>
      <c r="R276" s="44"/>
      <c r="S276" s="44"/>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44"/>
      <c r="BV276" s="44"/>
      <c r="BW276" s="44"/>
      <c r="BX276" s="44"/>
      <c r="BY276" s="44"/>
      <c r="BZ276" s="44"/>
      <c r="CA276" s="44"/>
      <c r="CB276" s="44"/>
      <c r="CC276" s="44"/>
      <c r="CD276" s="44"/>
      <c r="CE276" s="44"/>
      <c r="CF276" s="44"/>
      <c r="CG276" s="44"/>
      <c r="CH276" s="44"/>
      <c r="CI276" s="44"/>
      <c r="CJ276" s="44"/>
      <c r="CK276" s="44"/>
      <c r="CL276" s="44"/>
      <c r="CM276" s="44"/>
      <c r="CN276" s="44"/>
      <c r="CO276" s="44"/>
      <c r="CP276" s="44"/>
      <c r="CQ276" s="44"/>
      <c r="CR276" s="44"/>
      <c r="CS276" s="44"/>
      <c r="CT276" s="44"/>
      <c r="CU276" s="44"/>
      <c r="CV276" s="44"/>
      <c r="CW276" s="44"/>
      <c r="CX276" s="44"/>
      <c r="CY276" s="44"/>
      <c r="CZ276" s="44"/>
      <c r="DA276" s="44"/>
      <c r="DB276" s="44"/>
      <c r="DC276" s="44"/>
      <c r="DD276" s="44"/>
      <c r="DE276" s="44"/>
      <c r="DF276" s="44"/>
      <c r="DG276" s="44"/>
      <c r="DH276" s="44"/>
      <c r="DI276" s="44"/>
      <c r="DJ276" s="44"/>
      <c r="DK276" s="44"/>
      <c r="DL276" s="44"/>
      <c r="DM276" s="44"/>
      <c r="DN276" s="44"/>
      <c r="DO276" s="44"/>
      <c r="DP276" s="44"/>
      <c r="DQ276" s="44"/>
      <c r="DR276" s="44"/>
      <c r="DS276" s="44"/>
      <c r="DT276" s="44"/>
      <c r="DU276" s="44"/>
      <c r="DV276" s="44"/>
      <c r="DW276" s="44"/>
      <c r="DX276" s="44"/>
      <c r="DY276" s="44"/>
      <c r="DZ276" s="44"/>
      <c r="EA276" s="44"/>
      <c r="EB276" s="44"/>
      <c r="EC276" s="44"/>
      <c r="ED276" s="44"/>
      <c r="EE276" s="44"/>
      <c r="EF276" s="44"/>
      <c r="EG276" s="44"/>
    </row>
    <row r="277" spans="1:137">
      <c r="A277" s="14"/>
      <c r="B277" s="44"/>
      <c r="C277" s="44"/>
      <c r="D277" s="44"/>
      <c r="E277" s="44"/>
      <c r="F277" s="44"/>
      <c r="G277" s="44"/>
      <c r="H277" s="44"/>
      <c r="I277" s="44"/>
      <c r="J277" s="44"/>
      <c r="K277" s="44"/>
      <c r="L277" s="44"/>
      <c r="M277" s="44"/>
      <c r="N277" s="44"/>
      <c r="O277" s="44"/>
      <c r="P277" s="44"/>
      <c r="Q277" s="44"/>
      <c r="R277" s="44"/>
      <c r="S277" s="44"/>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row>
    <row r="278" spans="1:137">
      <c r="A278" s="14"/>
      <c r="B278" s="44"/>
      <c r="C278" s="44"/>
      <c r="D278" s="44"/>
      <c r="E278" s="44"/>
      <c r="F278" s="44"/>
      <c r="G278" s="44"/>
      <c r="H278" s="44"/>
      <c r="I278" s="44"/>
      <c r="J278" s="44"/>
      <c r="K278" s="44"/>
      <c r="L278" s="44"/>
      <c r="M278" s="44"/>
      <c r="N278" s="44"/>
      <c r="O278" s="44"/>
      <c r="P278" s="44"/>
      <c r="Q278" s="44"/>
      <c r="R278" s="44"/>
      <c r="S278" s="44"/>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44"/>
      <c r="BV278" s="44"/>
      <c r="BW278" s="44"/>
      <c r="BX278" s="44"/>
      <c r="BY278" s="44"/>
      <c r="BZ278" s="44"/>
      <c r="CA278" s="44"/>
      <c r="CB278" s="44"/>
      <c r="CC278" s="44"/>
      <c r="CD278" s="44"/>
      <c r="CE278" s="44"/>
      <c r="CF278" s="44"/>
      <c r="CG278" s="44"/>
      <c r="CH278" s="44"/>
      <c r="CI278" s="44"/>
      <c r="CJ278" s="44"/>
      <c r="CK278" s="44"/>
      <c r="CL278" s="44"/>
      <c r="CM278" s="44"/>
      <c r="CN278" s="44"/>
      <c r="CO278" s="44"/>
      <c r="CP278" s="44"/>
      <c r="CQ278" s="44"/>
      <c r="CR278" s="44"/>
      <c r="CS278" s="44"/>
      <c r="CT278" s="44"/>
      <c r="CU278" s="44"/>
      <c r="CV278" s="44"/>
      <c r="CW278" s="44"/>
      <c r="CX278" s="44"/>
      <c r="CY278" s="44"/>
      <c r="CZ278" s="44"/>
      <c r="DA278" s="44"/>
      <c r="DB278" s="44"/>
      <c r="DC278" s="44"/>
      <c r="DD278" s="44"/>
      <c r="DE278" s="44"/>
      <c r="DF278" s="44"/>
      <c r="DG278" s="44"/>
      <c r="DH278" s="44"/>
      <c r="DI278" s="44"/>
      <c r="DJ278" s="44"/>
      <c r="DK278" s="44"/>
      <c r="DL278" s="44"/>
      <c r="DM278" s="44"/>
      <c r="DN278" s="44"/>
      <c r="DO278" s="44"/>
      <c r="DP278" s="44"/>
      <c r="DQ278" s="44"/>
      <c r="DR278" s="44"/>
      <c r="DS278" s="44"/>
      <c r="DT278" s="44"/>
      <c r="DU278" s="44"/>
      <c r="DV278" s="44"/>
      <c r="DW278" s="44"/>
      <c r="DX278" s="44"/>
      <c r="DY278" s="44"/>
      <c r="DZ278" s="44"/>
      <c r="EA278" s="44"/>
      <c r="EB278" s="44"/>
      <c r="EC278" s="44"/>
      <c r="ED278" s="44"/>
      <c r="EE278" s="44"/>
      <c r="EF278" s="44"/>
      <c r="EG278" s="44"/>
    </row>
    <row r="279" spans="1:137">
      <c r="A279" s="14"/>
      <c r="B279" s="44"/>
      <c r="C279" s="44"/>
      <c r="D279" s="44"/>
      <c r="E279" s="44"/>
      <c r="F279" s="44"/>
      <c r="G279" s="44"/>
      <c r="H279" s="44"/>
      <c r="I279" s="44"/>
      <c r="J279" s="44"/>
      <c r="K279" s="44"/>
      <c r="L279" s="44"/>
      <c r="M279" s="44"/>
      <c r="N279" s="44"/>
      <c r="O279" s="44"/>
      <c r="P279" s="44"/>
      <c r="Q279" s="44"/>
      <c r="R279" s="44"/>
      <c r="S279" s="44"/>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44"/>
      <c r="BV279" s="44"/>
      <c r="BW279" s="44"/>
      <c r="BX279" s="44"/>
      <c r="BY279" s="44"/>
      <c r="BZ279" s="44"/>
      <c r="CA279" s="44"/>
      <c r="CB279" s="44"/>
      <c r="CC279" s="44"/>
      <c r="CD279" s="44"/>
      <c r="CE279" s="44"/>
      <c r="CF279" s="44"/>
      <c r="CG279" s="44"/>
      <c r="CH279" s="44"/>
      <c r="CI279" s="44"/>
      <c r="CJ279" s="44"/>
      <c r="CK279" s="44"/>
      <c r="CL279" s="44"/>
      <c r="CM279" s="44"/>
      <c r="CN279" s="44"/>
      <c r="CO279" s="44"/>
      <c r="CP279" s="44"/>
      <c r="CQ279" s="44"/>
      <c r="CR279" s="44"/>
      <c r="CS279" s="44"/>
      <c r="CT279" s="44"/>
      <c r="CU279" s="44"/>
      <c r="CV279" s="44"/>
      <c r="CW279" s="44"/>
      <c r="CX279" s="44"/>
      <c r="CY279" s="44"/>
      <c r="CZ279" s="44"/>
      <c r="DA279" s="44"/>
      <c r="DB279" s="44"/>
      <c r="DC279" s="44"/>
      <c r="DD279" s="44"/>
      <c r="DE279" s="44"/>
      <c r="DF279" s="44"/>
      <c r="DG279" s="44"/>
      <c r="DH279" s="44"/>
      <c r="DI279" s="44"/>
      <c r="DJ279" s="44"/>
      <c r="DK279" s="44"/>
      <c r="DL279" s="44"/>
      <c r="DM279" s="44"/>
      <c r="DN279" s="44"/>
      <c r="DO279" s="44"/>
      <c r="DP279" s="44"/>
      <c r="DQ279" s="44"/>
      <c r="DR279" s="44"/>
      <c r="DS279" s="44"/>
      <c r="DT279" s="44"/>
      <c r="DU279" s="44"/>
      <c r="DV279" s="44"/>
      <c r="DW279" s="44"/>
      <c r="DX279" s="44"/>
      <c r="DY279" s="44"/>
      <c r="DZ279" s="44"/>
      <c r="EA279" s="44"/>
      <c r="EB279" s="44"/>
      <c r="EC279" s="44"/>
      <c r="ED279" s="44"/>
      <c r="EE279" s="44"/>
      <c r="EF279" s="44"/>
      <c r="EG279" s="44"/>
    </row>
    <row r="280" spans="1:137">
      <c r="A280" s="14"/>
      <c r="B280" s="44"/>
      <c r="C280" s="44"/>
      <c r="D280" s="44"/>
      <c r="E280" s="44"/>
      <c r="F280" s="44"/>
      <c r="G280" s="44"/>
      <c r="H280" s="44"/>
      <c r="I280" s="44"/>
      <c r="J280" s="44"/>
      <c r="K280" s="44"/>
      <c r="L280" s="44"/>
      <c r="M280" s="44"/>
      <c r="N280" s="44"/>
      <c r="O280" s="44"/>
      <c r="P280" s="44"/>
      <c r="Q280" s="44"/>
      <c r="R280" s="44"/>
      <c r="S280" s="44"/>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44"/>
      <c r="BV280" s="44"/>
      <c r="BW280" s="44"/>
      <c r="BX280" s="44"/>
      <c r="BY280" s="44"/>
      <c r="BZ280" s="44"/>
      <c r="CA280" s="44"/>
      <c r="CB280" s="44"/>
      <c r="CC280" s="44"/>
      <c r="CD280" s="44"/>
      <c r="CE280" s="44"/>
      <c r="CF280" s="44"/>
      <c r="CG280" s="44"/>
      <c r="CH280" s="44"/>
      <c r="CI280" s="44"/>
      <c r="CJ280" s="44"/>
      <c r="CK280" s="44"/>
      <c r="CL280" s="44"/>
      <c r="CM280" s="44"/>
      <c r="CN280" s="44"/>
      <c r="CO280" s="44"/>
      <c r="CP280" s="44"/>
      <c r="CQ280" s="44"/>
      <c r="CR280" s="44"/>
      <c r="CS280" s="44"/>
      <c r="CT280" s="44"/>
      <c r="CU280" s="44"/>
      <c r="CV280" s="44"/>
      <c r="CW280" s="44"/>
      <c r="CX280" s="44"/>
      <c r="CY280" s="44"/>
      <c r="CZ280" s="44"/>
      <c r="DA280" s="44"/>
      <c r="DB280" s="44"/>
      <c r="DC280" s="44"/>
      <c r="DD280" s="44"/>
      <c r="DE280" s="44"/>
      <c r="DF280" s="44"/>
      <c r="DG280" s="44"/>
      <c r="DH280" s="44"/>
      <c r="DI280" s="44"/>
      <c r="DJ280" s="44"/>
      <c r="DK280" s="44"/>
      <c r="DL280" s="44"/>
      <c r="DM280" s="44"/>
      <c r="DN280" s="44"/>
      <c r="DO280" s="44"/>
      <c r="DP280" s="44"/>
      <c r="DQ280" s="44"/>
      <c r="DR280" s="44"/>
      <c r="DS280" s="44"/>
      <c r="DT280" s="44"/>
      <c r="DU280" s="44"/>
      <c r="DV280" s="44"/>
      <c r="DW280" s="44"/>
      <c r="DX280" s="44"/>
      <c r="DY280" s="44"/>
      <c r="DZ280" s="44"/>
      <c r="EA280" s="44"/>
      <c r="EB280" s="44"/>
      <c r="EC280" s="44"/>
      <c r="ED280" s="44"/>
      <c r="EE280" s="44"/>
      <c r="EF280" s="44"/>
      <c r="EG280" s="44"/>
    </row>
    <row r="281" spans="1:137">
      <c r="A281" s="14"/>
      <c r="B281" s="44"/>
      <c r="C281" s="44"/>
      <c r="D281" s="44"/>
      <c r="E281" s="44"/>
      <c r="F281" s="44"/>
      <c r="G281" s="44"/>
      <c r="H281" s="44"/>
      <c r="I281" s="44"/>
      <c r="J281" s="44"/>
      <c r="K281" s="44"/>
      <c r="L281" s="44"/>
      <c r="M281" s="44"/>
      <c r="N281" s="44"/>
      <c r="O281" s="44"/>
      <c r="P281" s="44"/>
      <c r="Q281" s="44"/>
      <c r="R281" s="44"/>
      <c r="S281" s="44"/>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44"/>
      <c r="BV281" s="44"/>
      <c r="BW281" s="44"/>
      <c r="BX281" s="44"/>
      <c r="BY281" s="44"/>
      <c r="BZ281" s="44"/>
      <c r="CA281" s="44"/>
      <c r="CB281" s="44"/>
      <c r="CC281" s="44"/>
      <c r="CD281" s="44"/>
      <c r="CE281" s="44"/>
      <c r="CF281" s="44"/>
      <c r="CG281" s="44"/>
      <c r="CH281" s="44"/>
      <c r="CI281" s="44"/>
      <c r="CJ281" s="44"/>
      <c r="CK281" s="44"/>
      <c r="CL281" s="44"/>
      <c r="CM281" s="44"/>
      <c r="CN281" s="44"/>
      <c r="CO281" s="44"/>
      <c r="CP281" s="44"/>
      <c r="CQ281" s="44"/>
      <c r="CR281" s="44"/>
      <c r="CS281" s="44"/>
      <c r="CT281" s="44"/>
      <c r="CU281" s="44"/>
      <c r="CV281" s="44"/>
      <c r="CW281" s="44"/>
      <c r="CX281" s="44"/>
      <c r="CY281" s="44"/>
      <c r="CZ281" s="44"/>
      <c r="DA281" s="44"/>
      <c r="DB281" s="44"/>
      <c r="DC281" s="44"/>
      <c r="DD281" s="44"/>
      <c r="DE281" s="44"/>
      <c r="DF281" s="44"/>
      <c r="DG281" s="44"/>
      <c r="DH281" s="44"/>
      <c r="DI281" s="44"/>
      <c r="DJ281" s="44"/>
      <c r="DK281" s="44"/>
      <c r="DL281" s="44"/>
      <c r="DM281" s="44"/>
      <c r="DN281" s="44"/>
      <c r="DO281" s="44"/>
      <c r="DP281" s="44"/>
      <c r="DQ281" s="44"/>
      <c r="DR281" s="44"/>
      <c r="DS281" s="44"/>
      <c r="DT281" s="44"/>
      <c r="DU281" s="44"/>
      <c r="DV281" s="44"/>
      <c r="DW281" s="44"/>
      <c r="DX281" s="44"/>
      <c r="DY281" s="44"/>
      <c r="DZ281" s="44"/>
      <c r="EA281" s="44"/>
      <c r="EB281" s="44"/>
      <c r="EC281" s="44"/>
      <c r="ED281" s="44"/>
      <c r="EE281" s="44"/>
      <c r="EF281" s="44"/>
      <c r="EG281" s="44"/>
    </row>
    <row r="282" spans="1:137">
      <c r="A282" s="14"/>
      <c r="B282" s="44"/>
      <c r="C282" s="44"/>
      <c r="D282" s="44"/>
      <c r="E282" s="44"/>
      <c r="F282" s="44"/>
      <c r="G282" s="44"/>
      <c r="H282" s="44"/>
      <c r="I282" s="44"/>
      <c r="J282" s="44"/>
      <c r="K282" s="44"/>
      <c r="L282" s="44"/>
      <c r="M282" s="44"/>
      <c r="N282" s="44"/>
      <c r="O282" s="44"/>
      <c r="P282" s="44"/>
      <c r="Q282" s="44"/>
      <c r="R282" s="44"/>
      <c r="S282" s="44"/>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44"/>
      <c r="BV282" s="44"/>
      <c r="BW282" s="44"/>
      <c r="BX282" s="44"/>
      <c r="BY282" s="44"/>
      <c r="BZ282" s="44"/>
      <c r="CA282" s="44"/>
      <c r="CB282" s="44"/>
      <c r="CC282" s="44"/>
      <c r="CD282" s="44"/>
      <c r="CE282" s="44"/>
      <c r="CF282" s="44"/>
      <c r="CG282" s="44"/>
      <c r="CH282" s="44"/>
      <c r="CI282" s="44"/>
      <c r="CJ282" s="44"/>
      <c r="CK282" s="44"/>
      <c r="CL282" s="44"/>
      <c r="CM282" s="44"/>
      <c r="CN282" s="44"/>
      <c r="CO282" s="44"/>
      <c r="CP282" s="44"/>
      <c r="CQ282" s="44"/>
      <c r="CR282" s="44"/>
      <c r="CS282" s="44"/>
      <c r="CT282" s="44"/>
      <c r="CU282" s="44"/>
      <c r="CV282" s="44"/>
      <c r="CW282" s="44"/>
      <c r="CX282" s="44"/>
      <c r="CY282" s="44"/>
      <c r="CZ282" s="44"/>
      <c r="DA282" s="44"/>
      <c r="DB282" s="44"/>
      <c r="DC282" s="44"/>
      <c r="DD282" s="44"/>
      <c r="DE282" s="44"/>
      <c r="DF282" s="44"/>
      <c r="DG282" s="44"/>
      <c r="DH282" s="44"/>
      <c r="DI282" s="44"/>
      <c r="DJ282" s="44"/>
      <c r="DK282" s="44"/>
      <c r="DL282" s="44"/>
      <c r="DM282" s="44"/>
      <c r="DN282" s="44"/>
      <c r="DO282" s="44"/>
      <c r="DP282" s="44"/>
      <c r="DQ282" s="44"/>
      <c r="DR282" s="44"/>
      <c r="DS282" s="44"/>
      <c r="DT282" s="44"/>
      <c r="DU282" s="44"/>
      <c r="DV282" s="44"/>
      <c r="DW282" s="44"/>
      <c r="DX282" s="44"/>
      <c r="DY282" s="44"/>
      <c r="DZ282" s="44"/>
      <c r="EA282" s="44"/>
      <c r="EB282" s="44"/>
      <c r="EC282" s="44"/>
      <c r="ED282" s="44"/>
      <c r="EE282" s="44"/>
      <c r="EF282" s="44"/>
      <c r="EG282" s="44"/>
    </row>
    <row r="283" spans="1:137">
      <c r="A283" s="14"/>
      <c r="B283" s="44"/>
      <c r="C283" s="44"/>
      <c r="D283" s="44"/>
      <c r="E283" s="44"/>
      <c r="F283" s="44"/>
      <c r="G283" s="44"/>
      <c r="H283" s="44"/>
      <c r="I283" s="44"/>
      <c r="J283" s="44"/>
      <c r="K283" s="44"/>
      <c r="L283" s="44"/>
      <c r="M283" s="44"/>
      <c r="N283" s="44"/>
      <c r="O283" s="44"/>
      <c r="P283" s="44"/>
      <c r="Q283" s="44"/>
      <c r="R283" s="44"/>
      <c r="S283" s="44"/>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44"/>
      <c r="BV283" s="44"/>
      <c r="BW283" s="44"/>
      <c r="BX283" s="44"/>
      <c r="BY283" s="44"/>
      <c r="BZ283" s="44"/>
      <c r="CA283" s="44"/>
      <c r="CB283" s="44"/>
      <c r="CC283" s="44"/>
      <c r="CD283" s="44"/>
      <c r="CE283" s="44"/>
      <c r="CF283" s="44"/>
      <c r="CG283" s="44"/>
      <c r="CH283" s="44"/>
      <c r="CI283" s="44"/>
      <c r="CJ283" s="44"/>
      <c r="CK283" s="44"/>
      <c r="CL283" s="44"/>
      <c r="CM283" s="44"/>
      <c r="CN283" s="44"/>
      <c r="CO283" s="44"/>
      <c r="CP283" s="44"/>
      <c r="CQ283" s="44"/>
      <c r="CR283" s="44"/>
      <c r="CS283" s="44"/>
      <c r="CT283" s="44"/>
      <c r="CU283" s="44"/>
      <c r="CV283" s="44"/>
      <c r="CW283" s="44"/>
      <c r="CX283" s="44"/>
      <c r="CY283" s="44"/>
      <c r="CZ283" s="44"/>
      <c r="DA283" s="44"/>
      <c r="DB283" s="44"/>
      <c r="DC283" s="44"/>
      <c r="DD283" s="44"/>
      <c r="DE283" s="44"/>
      <c r="DF283" s="44"/>
      <c r="DG283" s="44"/>
      <c r="DH283" s="44"/>
      <c r="DI283" s="44"/>
      <c r="DJ283" s="44"/>
      <c r="DK283" s="44"/>
      <c r="DL283" s="44"/>
      <c r="DM283" s="44"/>
      <c r="DN283" s="44"/>
      <c r="DO283" s="44"/>
      <c r="DP283" s="44"/>
      <c r="DQ283" s="44"/>
      <c r="DR283" s="44"/>
      <c r="DS283" s="44"/>
      <c r="DT283" s="44"/>
      <c r="DU283" s="44"/>
      <c r="DV283" s="44"/>
      <c r="DW283" s="44"/>
      <c r="DX283" s="44"/>
      <c r="DY283" s="44"/>
      <c r="DZ283" s="44"/>
      <c r="EA283" s="44"/>
      <c r="EB283" s="44"/>
      <c r="EC283" s="44"/>
      <c r="ED283" s="44"/>
      <c r="EE283" s="44"/>
      <c r="EF283" s="44"/>
      <c r="EG283" s="44"/>
    </row>
    <row r="284" spans="1:137">
      <c r="A284" s="14"/>
      <c r="B284" s="44"/>
      <c r="C284" s="44"/>
      <c r="D284" s="44"/>
      <c r="E284" s="44"/>
      <c r="F284" s="44"/>
      <c r="G284" s="44"/>
      <c r="H284" s="44"/>
      <c r="I284" s="44"/>
      <c r="J284" s="44"/>
      <c r="K284" s="44"/>
      <c r="L284" s="44"/>
      <c r="M284" s="44"/>
      <c r="N284" s="44"/>
      <c r="O284" s="44"/>
      <c r="P284" s="44"/>
      <c r="Q284" s="44"/>
      <c r="R284" s="44"/>
      <c r="S284" s="44"/>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44"/>
      <c r="BV284" s="44"/>
      <c r="BW284" s="44"/>
      <c r="BX284" s="44"/>
      <c r="BY284" s="44"/>
      <c r="BZ284" s="44"/>
      <c r="CA284" s="44"/>
      <c r="CB284" s="44"/>
      <c r="CC284" s="44"/>
      <c r="CD284" s="44"/>
      <c r="CE284" s="44"/>
      <c r="CF284" s="44"/>
      <c r="CG284" s="44"/>
      <c r="CH284" s="44"/>
      <c r="CI284" s="44"/>
      <c r="CJ284" s="44"/>
      <c r="CK284" s="44"/>
      <c r="CL284" s="44"/>
      <c r="CM284" s="44"/>
      <c r="CN284" s="44"/>
      <c r="CO284" s="44"/>
      <c r="CP284" s="44"/>
      <c r="CQ284" s="44"/>
      <c r="CR284" s="44"/>
      <c r="CS284" s="44"/>
      <c r="CT284" s="44"/>
      <c r="CU284" s="44"/>
      <c r="CV284" s="44"/>
      <c r="CW284" s="44"/>
      <c r="CX284" s="44"/>
      <c r="CY284" s="44"/>
      <c r="CZ284" s="44"/>
      <c r="DA284" s="44"/>
      <c r="DB284" s="44"/>
      <c r="DC284" s="44"/>
      <c r="DD284" s="44"/>
      <c r="DE284" s="44"/>
      <c r="DF284" s="44"/>
      <c r="DG284" s="44"/>
      <c r="DH284" s="44"/>
      <c r="DI284" s="44"/>
      <c r="DJ284" s="44"/>
      <c r="DK284" s="44"/>
      <c r="DL284" s="44"/>
      <c r="DM284" s="44"/>
      <c r="DN284" s="44"/>
      <c r="DO284" s="44"/>
      <c r="DP284" s="44"/>
      <c r="DQ284" s="44"/>
      <c r="DR284" s="44"/>
      <c r="DS284" s="44"/>
      <c r="DT284" s="44"/>
      <c r="DU284" s="44"/>
      <c r="DV284" s="44"/>
      <c r="DW284" s="44"/>
      <c r="DX284" s="44"/>
      <c r="DY284" s="44"/>
      <c r="DZ284" s="44"/>
      <c r="EA284" s="44"/>
      <c r="EB284" s="44"/>
      <c r="EC284" s="44"/>
      <c r="ED284" s="44"/>
      <c r="EE284" s="44"/>
      <c r="EF284" s="44"/>
      <c r="EG284" s="44"/>
    </row>
    <row r="285" spans="1:137">
      <c r="A285" s="14"/>
      <c r="B285" s="44"/>
      <c r="C285" s="44"/>
      <c r="D285" s="44"/>
      <c r="E285" s="44"/>
      <c r="F285" s="44"/>
      <c r="G285" s="44"/>
      <c r="H285" s="44"/>
      <c r="I285" s="44"/>
      <c r="J285" s="44"/>
      <c r="K285" s="44"/>
      <c r="L285" s="44"/>
      <c r="M285" s="44"/>
      <c r="N285" s="44"/>
      <c r="O285" s="44"/>
      <c r="P285" s="44"/>
      <c r="Q285" s="44"/>
      <c r="R285" s="44"/>
      <c r="S285" s="44"/>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row>
    <row r="286" spans="1:137">
      <c r="A286" s="14"/>
      <c r="B286" s="44"/>
      <c r="C286" s="44"/>
      <c r="D286" s="44"/>
      <c r="E286" s="44"/>
      <c r="F286" s="44"/>
      <c r="G286" s="44"/>
      <c r="H286" s="44"/>
      <c r="I286" s="44"/>
      <c r="J286" s="44"/>
      <c r="K286" s="44"/>
      <c r="L286" s="44"/>
      <c r="M286" s="44"/>
      <c r="N286" s="44"/>
      <c r="O286" s="44"/>
      <c r="P286" s="44"/>
      <c r="Q286" s="44"/>
      <c r="R286" s="44"/>
      <c r="S286" s="44"/>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row>
    <row r="287" spans="1:137">
      <c r="A287" s="14"/>
      <c r="B287" s="44"/>
      <c r="C287" s="44"/>
      <c r="D287" s="44"/>
      <c r="E287" s="44"/>
      <c r="F287" s="44"/>
      <c r="G287" s="44"/>
      <c r="H287" s="44"/>
      <c r="I287" s="44"/>
      <c r="J287" s="44"/>
      <c r="K287" s="44"/>
      <c r="L287" s="44"/>
      <c r="M287" s="44"/>
      <c r="N287" s="44"/>
      <c r="O287" s="44"/>
      <c r="P287" s="44"/>
      <c r="Q287" s="44"/>
      <c r="R287" s="44"/>
      <c r="S287" s="44"/>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row>
    <row r="288" spans="1:137">
      <c r="A288" s="14"/>
      <c r="B288" s="44"/>
      <c r="C288" s="44"/>
      <c r="D288" s="44"/>
      <c r="E288" s="44"/>
      <c r="F288" s="44"/>
      <c r="G288" s="44"/>
      <c r="H288" s="44"/>
      <c r="I288" s="44"/>
      <c r="J288" s="44"/>
      <c r="K288" s="44"/>
      <c r="L288" s="44"/>
      <c r="M288" s="44"/>
      <c r="N288" s="44"/>
      <c r="O288" s="44"/>
      <c r="P288" s="44"/>
      <c r="Q288" s="44"/>
      <c r="R288" s="44"/>
      <c r="S288" s="44"/>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row>
    <row r="289" spans="1:137">
      <c r="A289" s="14"/>
      <c r="B289" s="44"/>
      <c r="C289" s="44"/>
      <c r="D289" s="44"/>
      <c r="E289" s="44"/>
      <c r="F289" s="44"/>
      <c r="G289" s="44"/>
      <c r="H289" s="44"/>
      <c r="I289" s="44"/>
      <c r="J289" s="44"/>
      <c r="K289" s="44"/>
      <c r="L289" s="44"/>
      <c r="M289" s="44"/>
      <c r="N289" s="44"/>
      <c r="O289" s="44"/>
      <c r="P289" s="44"/>
      <c r="Q289" s="44"/>
      <c r="R289" s="44"/>
      <c r="S289" s="44"/>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row>
    <row r="290" spans="1:137">
      <c r="A290" s="14"/>
      <c r="B290" s="44"/>
      <c r="C290" s="44"/>
      <c r="D290" s="44"/>
      <c r="E290" s="44"/>
      <c r="F290" s="44"/>
      <c r="G290" s="44"/>
      <c r="H290" s="44"/>
      <c r="I290" s="44"/>
      <c r="J290" s="44"/>
      <c r="K290" s="44"/>
      <c r="L290" s="44"/>
      <c r="M290" s="44"/>
      <c r="N290" s="44"/>
      <c r="O290" s="44"/>
      <c r="P290" s="44"/>
      <c r="Q290" s="44"/>
      <c r="R290" s="44"/>
      <c r="S290" s="44"/>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44"/>
      <c r="BV290" s="44"/>
      <c r="BW290" s="44"/>
      <c r="BX290" s="44"/>
      <c r="BY290" s="44"/>
      <c r="BZ290" s="44"/>
      <c r="CA290" s="44"/>
      <c r="CB290" s="44"/>
      <c r="CC290" s="44"/>
      <c r="CD290" s="44"/>
      <c r="CE290" s="44"/>
      <c r="CF290" s="44"/>
      <c r="CG290" s="44"/>
      <c r="CH290" s="44"/>
      <c r="CI290" s="44"/>
      <c r="CJ290" s="44"/>
      <c r="CK290" s="44"/>
      <c r="CL290" s="44"/>
      <c r="CM290" s="44"/>
      <c r="CN290" s="44"/>
      <c r="CO290" s="44"/>
      <c r="CP290" s="44"/>
      <c r="CQ290" s="44"/>
      <c r="CR290" s="44"/>
      <c r="CS290" s="44"/>
      <c r="CT290" s="44"/>
      <c r="CU290" s="44"/>
      <c r="CV290" s="44"/>
      <c r="CW290" s="44"/>
      <c r="CX290" s="44"/>
      <c r="CY290" s="44"/>
      <c r="CZ290" s="44"/>
      <c r="DA290" s="44"/>
      <c r="DB290" s="44"/>
      <c r="DC290" s="44"/>
      <c r="DD290" s="44"/>
      <c r="DE290" s="44"/>
      <c r="DF290" s="44"/>
      <c r="DG290" s="44"/>
      <c r="DH290" s="44"/>
      <c r="DI290" s="44"/>
      <c r="DJ290" s="44"/>
      <c r="DK290" s="44"/>
      <c r="DL290" s="44"/>
      <c r="DM290" s="44"/>
      <c r="DN290" s="44"/>
      <c r="DO290" s="44"/>
      <c r="DP290" s="44"/>
      <c r="DQ290" s="44"/>
      <c r="DR290" s="44"/>
      <c r="DS290" s="44"/>
      <c r="DT290" s="44"/>
      <c r="DU290" s="44"/>
      <c r="DV290" s="44"/>
      <c r="DW290" s="44"/>
      <c r="DX290" s="44"/>
      <c r="DY290" s="44"/>
      <c r="DZ290" s="44"/>
      <c r="EA290" s="44"/>
      <c r="EB290" s="44"/>
      <c r="EC290" s="44"/>
      <c r="ED290" s="44"/>
      <c r="EE290" s="44"/>
      <c r="EF290" s="44"/>
      <c r="EG290" s="44"/>
    </row>
    <row r="291" spans="1:137">
      <c r="A291" s="14"/>
      <c r="B291" s="44"/>
      <c r="C291" s="44"/>
      <c r="D291" s="44"/>
      <c r="E291" s="44"/>
      <c r="F291" s="44"/>
      <c r="G291" s="44"/>
      <c r="H291" s="44"/>
      <c r="I291" s="44"/>
      <c r="J291" s="44"/>
      <c r="K291" s="44"/>
      <c r="L291" s="44"/>
      <c r="M291" s="44"/>
      <c r="N291" s="44"/>
      <c r="O291" s="44"/>
      <c r="P291" s="44"/>
      <c r="Q291" s="44"/>
      <c r="R291" s="44"/>
      <c r="S291" s="44"/>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44"/>
      <c r="BV291" s="44"/>
      <c r="BW291" s="44"/>
      <c r="BX291" s="44"/>
      <c r="BY291" s="44"/>
      <c r="BZ291" s="44"/>
      <c r="CA291" s="44"/>
      <c r="CB291" s="44"/>
      <c r="CC291" s="44"/>
      <c r="CD291" s="44"/>
      <c r="CE291" s="44"/>
      <c r="CF291" s="44"/>
      <c r="CG291" s="44"/>
      <c r="CH291" s="44"/>
      <c r="CI291" s="44"/>
      <c r="CJ291" s="44"/>
      <c r="CK291" s="44"/>
      <c r="CL291" s="44"/>
      <c r="CM291" s="44"/>
      <c r="CN291" s="44"/>
      <c r="CO291" s="44"/>
      <c r="CP291" s="44"/>
      <c r="CQ291" s="44"/>
      <c r="CR291" s="44"/>
      <c r="CS291" s="44"/>
      <c r="CT291" s="44"/>
      <c r="CU291" s="44"/>
      <c r="CV291" s="44"/>
      <c r="CW291" s="44"/>
      <c r="CX291" s="44"/>
      <c r="CY291" s="44"/>
      <c r="CZ291" s="44"/>
      <c r="DA291" s="44"/>
      <c r="DB291" s="44"/>
      <c r="DC291" s="44"/>
      <c r="DD291" s="44"/>
      <c r="DE291" s="44"/>
      <c r="DF291" s="44"/>
      <c r="DG291" s="44"/>
      <c r="DH291" s="44"/>
      <c r="DI291" s="44"/>
      <c r="DJ291" s="44"/>
      <c r="DK291" s="44"/>
      <c r="DL291" s="44"/>
      <c r="DM291" s="44"/>
      <c r="DN291" s="44"/>
      <c r="DO291" s="44"/>
      <c r="DP291" s="44"/>
      <c r="DQ291" s="44"/>
      <c r="DR291" s="44"/>
      <c r="DS291" s="44"/>
      <c r="DT291" s="44"/>
      <c r="DU291" s="44"/>
      <c r="DV291" s="44"/>
      <c r="DW291" s="44"/>
      <c r="DX291" s="44"/>
      <c r="DY291" s="44"/>
      <c r="DZ291" s="44"/>
      <c r="EA291" s="44"/>
      <c r="EB291" s="44"/>
      <c r="EC291" s="44"/>
      <c r="ED291" s="44"/>
      <c r="EE291" s="44"/>
      <c r="EF291" s="44"/>
      <c r="EG291" s="44"/>
    </row>
    <row r="292" spans="1:137">
      <c r="A292" s="14"/>
      <c r="B292" s="44"/>
      <c r="C292" s="44"/>
      <c r="D292" s="44"/>
      <c r="E292" s="44"/>
      <c r="F292" s="44"/>
      <c r="G292" s="44"/>
      <c r="H292" s="44"/>
      <c r="I292" s="44"/>
      <c r="J292" s="44"/>
      <c r="K292" s="44"/>
      <c r="L292" s="44"/>
      <c r="M292" s="44"/>
      <c r="N292" s="44"/>
      <c r="O292" s="44"/>
      <c r="P292" s="44"/>
      <c r="Q292" s="44"/>
      <c r="R292" s="44"/>
      <c r="S292" s="44"/>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44"/>
      <c r="BV292" s="44"/>
      <c r="BW292" s="44"/>
      <c r="BX292" s="44"/>
      <c r="BY292" s="44"/>
      <c r="BZ292" s="44"/>
      <c r="CA292" s="44"/>
      <c r="CB292" s="44"/>
      <c r="CC292" s="44"/>
      <c r="CD292" s="44"/>
      <c r="CE292" s="44"/>
      <c r="CF292" s="44"/>
      <c r="CG292" s="44"/>
      <c r="CH292" s="44"/>
      <c r="CI292" s="44"/>
      <c r="CJ292" s="44"/>
      <c r="CK292" s="44"/>
      <c r="CL292" s="44"/>
      <c r="CM292" s="44"/>
      <c r="CN292" s="44"/>
      <c r="CO292" s="44"/>
      <c r="CP292" s="44"/>
      <c r="CQ292" s="44"/>
      <c r="CR292" s="44"/>
      <c r="CS292" s="44"/>
      <c r="CT292" s="44"/>
      <c r="CU292" s="44"/>
      <c r="CV292" s="44"/>
      <c r="CW292" s="44"/>
      <c r="CX292" s="44"/>
      <c r="CY292" s="44"/>
      <c r="CZ292" s="44"/>
      <c r="DA292" s="44"/>
      <c r="DB292" s="44"/>
      <c r="DC292" s="44"/>
      <c r="DD292" s="44"/>
      <c r="DE292" s="44"/>
      <c r="DF292" s="44"/>
      <c r="DG292" s="44"/>
      <c r="DH292" s="44"/>
      <c r="DI292" s="44"/>
      <c r="DJ292" s="44"/>
      <c r="DK292" s="44"/>
      <c r="DL292" s="44"/>
      <c r="DM292" s="44"/>
      <c r="DN292" s="44"/>
      <c r="DO292" s="44"/>
      <c r="DP292" s="44"/>
      <c r="DQ292" s="44"/>
      <c r="DR292" s="44"/>
      <c r="DS292" s="44"/>
      <c r="DT292" s="44"/>
      <c r="DU292" s="44"/>
      <c r="DV292" s="44"/>
      <c r="DW292" s="44"/>
      <c r="DX292" s="44"/>
      <c r="DY292" s="44"/>
      <c r="DZ292" s="44"/>
      <c r="EA292" s="44"/>
      <c r="EB292" s="44"/>
      <c r="EC292" s="44"/>
      <c r="ED292" s="44"/>
      <c r="EE292" s="44"/>
      <c r="EF292" s="44"/>
      <c r="EG292" s="44"/>
    </row>
    <row r="293" spans="1:137">
      <c r="A293" s="14"/>
      <c r="B293" s="44"/>
      <c r="C293" s="44"/>
      <c r="D293" s="44"/>
      <c r="E293" s="44"/>
      <c r="F293" s="44"/>
      <c r="G293" s="44"/>
      <c r="H293" s="44"/>
      <c r="I293" s="44"/>
      <c r="J293" s="44"/>
      <c r="K293" s="44"/>
      <c r="L293" s="44"/>
      <c r="M293" s="44"/>
      <c r="N293" s="44"/>
      <c r="O293" s="44"/>
      <c r="P293" s="44"/>
      <c r="Q293" s="44"/>
      <c r="R293" s="44"/>
      <c r="S293" s="44"/>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44"/>
      <c r="BV293" s="44"/>
      <c r="BW293" s="44"/>
      <c r="BX293" s="44"/>
      <c r="BY293" s="44"/>
      <c r="BZ293" s="44"/>
      <c r="CA293" s="44"/>
      <c r="CB293" s="44"/>
      <c r="CC293" s="44"/>
      <c r="CD293" s="44"/>
      <c r="CE293" s="44"/>
      <c r="CF293" s="44"/>
      <c r="CG293" s="44"/>
      <c r="CH293" s="44"/>
      <c r="CI293" s="44"/>
      <c r="CJ293" s="44"/>
      <c r="CK293" s="44"/>
      <c r="CL293" s="44"/>
      <c r="CM293" s="44"/>
      <c r="CN293" s="44"/>
      <c r="CO293" s="44"/>
      <c r="CP293" s="44"/>
      <c r="CQ293" s="44"/>
      <c r="CR293" s="44"/>
      <c r="CS293" s="44"/>
      <c r="CT293" s="44"/>
      <c r="CU293" s="44"/>
      <c r="CV293" s="44"/>
      <c r="CW293" s="44"/>
      <c r="CX293" s="44"/>
      <c r="CY293" s="44"/>
      <c r="CZ293" s="44"/>
      <c r="DA293" s="44"/>
      <c r="DB293" s="44"/>
      <c r="DC293" s="44"/>
      <c r="DD293" s="44"/>
      <c r="DE293" s="44"/>
      <c r="DF293" s="44"/>
      <c r="DG293" s="44"/>
      <c r="DH293" s="44"/>
      <c r="DI293" s="44"/>
      <c r="DJ293" s="44"/>
      <c r="DK293" s="44"/>
      <c r="DL293" s="44"/>
      <c r="DM293" s="44"/>
      <c r="DN293" s="44"/>
      <c r="DO293" s="44"/>
      <c r="DP293" s="44"/>
      <c r="DQ293" s="44"/>
      <c r="DR293" s="44"/>
      <c r="DS293" s="44"/>
      <c r="DT293" s="44"/>
      <c r="DU293" s="44"/>
      <c r="DV293" s="44"/>
      <c r="DW293" s="44"/>
      <c r="DX293" s="44"/>
      <c r="DY293" s="44"/>
      <c r="DZ293" s="44"/>
      <c r="EA293" s="44"/>
      <c r="EB293" s="44"/>
      <c r="EC293" s="44"/>
      <c r="ED293" s="44"/>
      <c r="EE293" s="44"/>
      <c r="EF293" s="44"/>
      <c r="EG293" s="44"/>
    </row>
    <row r="294" spans="1:137">
      <c r="A294" s="14"/>
      <c r="B294" s="44"/>
      <c r="C294" s="44"/>
      <c r="D294" s="44"/>
      <c r="E294" s="44"/>
      <c r="F294" s="44"/>
      <c r="G294" s="44"/>
      <c r="H294" s="44"/>
      <c r="I294" s="44"/>
      <c r="J294" s="44"/>
      <c r="K294" s="44"/>
      <c r="L294" s="44"/>
      <c r="M294" s="44"/>
      <c r="N294" s="44"/>
      <c r="O294" s="44"/>
      <c r="P294" s="44"/>
      <c r="Q294" s="44"/>
      <c r="R294" s="44"/>
      <c r="S294" s="44"/>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44"/>
      <c r="BV294" s="44"/>
      <c r="BW294" s="44"/>
      <c r="BX294" s="44"/>
      <c r="BY294" s="44"/>
      <c r="BZ294" s="44"/>
      <c r="CA294" s="44"/>
      <c r="CB294" s="44"/>
      <c r="CC294" s="44"/>
      <c r="CD294" s="44"/>
      <c r="CE294" s="44"/>
      <c r="CF294" s="44"/>
      <c r="CG294" s="44"/>
      <c r="CH294" s="44"/>
      <c r="CI294" s="44"/>
      <c r="CJ294" s="44"/>
      <c r="CK294" s="44"/>
      <c r="CL294" s="44"/>
      <c r="CM294" s="44"/>
      <c r="CN294" s="44"/>
      <c r="CO294" s="44"/>
      <c r="CP294" s="44"/>
      <c r="CQ294" s="44"/>
      <c r="CR294" s="44"/>
      <c r="CS294" s="44"/>
      <c r="CT294" s="44"/>
      <c r="CU294" s="44"/>
      <c r="CV294" s="44"/>
      <c r="CW294" s="44"/>
      <c r="CX294" s="44"/>
      <c r="CY294" s="44"/>
      <c r="CZ294" s="44"/>
      <c r="DA294" s="44"/>
      <c r="DB294" s="44"/>
      <c r="DC294" s="44"/>
      <c r="DD294" s="44"/>
      <c r="DE294" s="44"/>
      <c r="DF294" s="44"/>
      <c r="DG294" s="44"/>
      <c r="DH294" s="44"/>
      <c r="DI294" s="44"/>
      <c r="DJ294" s="44"/>
      <c r="DK294" s="44"/>
      <c r="DL294" s="44"/>
      <c r="DM294" s="44"/>
      <c r="DN294" s="44"/>
      <c r="DO294" s="44"/>
      <c r="DP294" s="44"/>
      <c r="DQ294" s="44"/>
      <c r="DR294" s="44"/>
      <c r="DS294" s="44"/>
      <c r="DT294" s="44"/>
      <c r="DU294" s="44"/>
      <c r="DV294" s="44"/>
      <c r="DW294" s="44"/>
      <c r="DX294" s="44"/>
      <c r="DY294" s="44"/>
      <c r="DZ294" s="44"/>
      <c r="EA294" s="44"/>
      <c r="EB294" s="44"/>
      <c r="EC294" s="44"/>
      <c r="ED294" s="44"/>
      <c r="EE294" s="44"/>
      <c r="EF294" s="44"/>
      <c r="EG294" s="44"/>
    </row>
    <row r="295" spans="1:137">
      <c r="B295" s="130" t="s">
        <v>82</v>
      </c>
    </row>
  </sheetData>
  <sheetProtection password="B493" sheet="1" objects="1" scenarios="1"/>
  <sortState xmlns:xlrd2="http://schemas.microsoft.com/office/spreadsheetml/2017/richdata2" ref="K62:K72">
    <sortCondition ref="K62"/>
  </sortState>
  <mergeCells count="181">
    <mergeCell ref="C14:G25"/>
    <mergeCell ref="CB222:CD223"/>
    <mergeCell ref="C164:L165"/>
    <mergeCell ref="BY210:BZ210"/>
    <mergeCell ref="O6:R13"/>
    <mergeCell ref="O200:R205"/>
    <mergeCell ref="I19:L23"/>
    <mergeCell ref="BV222:BX223"/>
    <mergeCell ref="BU222:BU223"/>
    <mergeCell ref="BY222:BZ223"/>
    <mergeCell ref="CA222:CA223"/>
    <mergeCell ref="M85:M86"/>
    <mergeCell ref="M92:M93"/>
    <mergeCell ref="M99:M100"/>
    <mergeCell ref="M106:M107"/>
    <mergeCell ref="M113:M114"/>
    <mergeCell ref="M127:M128"/>
    <mergeCell ref="M134:M135"/>
    <mergeCell ref="M141:M142"/>
    <mergeCell ref="M148:M149"/>
    <mergeCell ref="N85:N86"/>
    <mergeCell ref="N92:N93"/>
    <mergeCell ref="M122:N123"/>
    <mergeCell ref="N113:N114"/>
    <mergeCell ref="F168:G168"/>
    <mergeCell ref="H168:I169"/>
    <mergeCell ref="C161:G162"/>
    <mergeCell ref="I104:J109"/>
    <mergeCell ref="K104:L109"/>
    <mergeCell ref="I159:L159"/>
    <mergeCell ref="I160:L160"/>
    <mergeCell ref="I118:J123"/>
    <mergeCell ref="K118:L123"/>
    <mergeCell ref="D104:G109"/>
    <mergeCell ref="C168:D169"/>
    <mergeCell ref="E168:E169"/>
    <mergeCell ref="I97:J102"/>
    <mergeCell ref="K97:L102"/>
    <mergeCell ref="CA213:CA215"/>
    <mergeCell ref="CB213:CD215"/>
    <mergeCell ref="J168:K169"/>
    <mergeCell ref="L168:L169"/>
    <mergeCell ref="P168:P169"/>
    <mergeCell ref="Q168:Q169"/>
    <mergeCell ref="N141:N142"/>
    <mergeCell ref="N148:N149"/>
    <mergeCell ref="I125:J130"/>
    <mergeCell ref="K125:L130"/>
    <mergeCell ref="I132:J137"/>
    <mergeCell ref="I139:J144"/>
    <mergeCell ref="I146:J151"/>
    <mergeCell ref="K132:L137"/>
    <mergeCell ref="K139:L144"/>
    <mergeCell ref="K146:L151"/>
    <mergeCell ref="I158:L158"/>
    <mergeCell ref="M168:M169"/>
    <mergeCell ref="N99:N100"/>
    <mergeCell ref="N106:N107"/>
    <mergeCell ref="N127:N128"/>
    <mergeCell ref="N134:N135"/>
    <mergeCell ref="R1:R2"/>
    <mergeCell ref="BM60:BO60"/>
    <mergeCell ref="C125:C130"/>
    <mergeCell ref="D125:G130"/>
    <mergeCell ref="C104:C109"/>
    <mergeCell ref="O104:R109"/>
    <mergeCell ref="O111:R116"/>
    <mergeCell ref="O118:R123"/>
    <mergeCell ref="O125:R130"/>
    <mergeCell ref="C111:C116"/>
    <mergeCell ref="D111:G116"/>
    <mergeCell ref="C74:G77"/>
    <mergeCell ref="O90:R95"/>
    <mergeCell ref="I74:R77"/>
    <mergeCell ref="I83:J88"/>
    <mergeCell ref="K83:L88"/>
    <mergeCell ref="D118:G123"/>
    <mergeCell ref="K111:L116"/>
    <mergeCell ref="C90:C95"/>
    <mergeCell ref="D90:G95"/>
    <mergeCell ref="O97:R102"/>
    <mergeCell ref="D97:G102"/>
    <mergeCell ref="I90:J95"/>
    <mergeCell ref="K90:L95"/>
    <mergeCell ref="O83:R88"/>
    <mergeCell ref="BU210:BX210"/>
    <mergeCell ref="C173:D173"/>
    <mergeCell ref="C171:D171"/>
    <mergeCell ref="C178:D178"/>
    <mergeCell ref="C179:D179"/>
    <mergeCell ref="C176:D176"/>
    <mergeCell ref="C177:D177"/>
    <mergeCell ref="C174:D174"/>
    <mergeCell ref="C175:D175"/>
    <mergeCell ref="H174:I174"/>
    <mergeCell ref="H175:I175"/>
    <mergeCell ref="H176:I176"/>
    <mergeCell ref="H177:I177"/>
    <mergeCell ref="H178:I178"/>
    <mergeCell ref="H179:I179"/>
    <mergeCell ref="H173:I173"/>
    <mergeCell ref="O195:O196"/>
    <mergeCell ref="H170:I170"/>
    <mergeCell ref="H171:I171"/>
    <mergeCell ref="H172:I172"/>
    <mergeCell ref="C181:L183"/>
    <mergeCell ref="C170:D170"/>
    <mergeCell ref="D146:G151"/>
    <mergeCell ref="BV216:BX217"/>
    <mergeCell ref="BU216:BU217"/>
    <mergeCell ref="BY216:BZ217"/>
    <mergeCell ref="CA216:CA217"/>
    <mergeCell ref="CB216:CD217"/>
    <mergeCell ref="BV218:BX221"/>
    <mergeCell ref="BU218:BU221"/>
    <mergeCell ref="BY218:BZ221"/>
    <mergeCell ref="CA218:CA221"/>
    <mergeCell ref="CB218:CD221"/>
    <mergeCell ref="BY213:BZ215"/>
    <mergeCell ref="BV211:BX212"/>
    <mergeCell ref="BU211:BU212"/>
    <mergeCell ref="BU195:CD196"/>
    <mergeCell ref="BU200:CD200"/>
    <mergeCell ref="BU208:CB209"/>
    <mergeCell ref="CB211:CD212"/>
    <mergeCell ref="CA211:CA212"/>
    <mergeCell ref="BY211:BZ212"/>
    <mergeCell ref="BU203:CB203"/>
    <mergeCell ref="BV213:BX215"/>
    <mergeCell ref="BU213:BU215"/>
    <mergeCell ref="BY198:CB199"/>
    <mergeCell ref="BU205:CD206"/>
    <mergeCell ref="BY244:CC244"/>
    <mergeCell ref="BY245:CC245"/>
    <mergeCell ref="BU242:BV242"/>
    <mergeCell ref="BV233:BX234"/>
    <mergeCell ref="BU233:BU234"/>
    <mergeCell ref="BY233:BZ234"/>
    <mergeCell ref="CA233:CA234"/>
    <mergeCell ref="CB233:CD234"/>
    <mergeCell ref="BV231:BX232"/>
    <mergeCell ref="BU231:BU232"/>
    <mergeCell ref="BY231:BZ232"/>
    <mergeCell ref="CA231:CA232"/>
    <mergeCell ref="CB231:CD232"/>
    <mergeCell ref="BU236:CD237"/>
    <mergeCell ref="BU238:CC239"/>
    <mergeCell ref="BV229:BX230"/>
    <mergeCell ref="BU229:BU230"/>
    <mergeCell ref="BY229:BZ230"/>
    <mergeCell ref="CA229:CA230"/>
    <mergeCell ref="CB229:CD230"/>
    <mergeCell ref="BV226:BX228"/>
    <mergeCell ref="BU226:BU228"/>
    <mergeCell ref="BY226:BZ228"/>
    <mergeCell ref="CA226:CA228"/>
    <mergeCell ref="CB226:CD228"/>
    <mergeCell ref="BV224:BX225"/>
    <mergeCell ref="BU224:BU225"/>
    <mergeCell ref="BY224:BZ225"/>
    <mergeCell ref="CA224:CA225"/>
    <mergeCell ref="CB224:CD225"/>
    <mergeCell ref="C9:F9"/>
    <mergeCell ref="C6:F6"/>
    <mergeCell ref="C12:F12"/>
    <mergeCell ref="D83:G88"/>
    <mergeCell ref="C83:C88"/>
    <mergeCell ref="C172:D172"/>
    <mergeCell ref="C158:G158"/>
    <mergeCell ref="C159:G160"/>
    <mergeCell ref="C97:C102"/>
    <mergeCell ref="C146:C151"/>
    <mergeCell ref="C132:C137"/>
    <mergeCell ref="D132:G137"/>
    <mergeCell ref="C139:C144"/>
    <mergeCell ref="D139:G144"/>
    <mergeCell ref="O132:R137"/>
    <mergeCell ref="O139:R144"/>
    <mergeCell ref="O146:R151"/>
    <mergeCell ref="C118:C123"/>
    <mergeCell ref="I111:J116"/>
  </mergeCells>
  <conditionalFormatting sqref="BU203">
    <cfRule type="expression" dxfId="358" priority="1392">
      <formula>$AW$184=TRUE</formula>
    </cfRule>
  </conditionalFormatting>
  <conditionalFormatting sqref="BU208">
    <cfRule type="expression" dxfId="357" priority="1059">
      <formula>$AW$184=TRUE</formula>
    </cfRule>
  </conditionalFormatting>
  <conditionalFormatting sqref="C83:G88">
    <cfRule type="expression" dxfId="356" priority="629">
      <formula>$X$89=TRUE</formula>
    </cfRule>
  </conditionalFormatting>
  <conditionalFormatting sqref="C90:G95">
    <cfRule type="expression" dxfId="355" priority="628">
      <formula>$X$90=TRUE</formula>
    </cfRule>
  </conditionalFormatting>
  <conditionalFormatting sqref="C97:G102">
    <cfRule type="expression" dxfId="354" priority="627">
      <formula>$X$91=TRUE</formula>
    </cfRule>
  </conditionalFormatting>
  <conditionalFormatting sqref="C104:G109">
    <cfRule type="expression" dxfId="353" priority="626">
      <formula>$X$92=TRUE</formula>
    </cfRule>
  </conditionalFormatting>
  <conditionalFormatting sqref="C111:G116">
    <cfRule type="expression" dxfId="352" priority="625">
      <formula>$X$93=TRUE</formula>
    </cfRule>
  </conditionalFormatting>
  <conditionalFormatting sqref="C118:G123">
    <cfRule type="expression" dxfId="351" priority="624">
      <formula>$X$94=TRUE</formula>
    </cfRule>
  </conditionalFormatting>
  <conditionalFormatting sqref="C125:G130">
    <cfRule type="expression" dxfId="350" priority="623">
      <formula>$X$95=TRUE</formula>
    </cfRule>
  </conditionalFormatting>
  <conditionalFormatting sqref="C132:G137">
    <cfRule type="expression" dxfId="349" priority="622">
      <formula>$X$96=TRUE</formula>
    </cfRule>
  </conditionalFormatting>
  <conditionalFormatting sqref="C139:G144">
    <cfRule type="expression" dxfId="348" priority="621">
      <formula>$X$97=TRUE</formula>
    </cfRule>
  </conditionalFormatting>
  <conditionalFormatting sqref="C146:G151">
    <cfRule type="expression" dxfId="347" priority="620">
      <formula>$X$98=TRUE</formula>
    </cfRule>
  </conditionalFormatting>
  <conditionalFormatting sqref="K83:L88">
    <cfRule type="expression" dxfId="346" priority="567">
      <formula>$Z$89=TRUE</formula>
    </cfRule>
  </conditionalFormatting>
  <conditionalFormatting sqref="I83:J88">
    <cfRule type="expression" dxfId="345" priority="566">
      <formula>$Y$89=TRUE</formula>
    </cfRule>
  </conditionalFormatting>
  <conditionalFormatting sqref="K90:L95">
    <cfRule type="expression" dxfId="344" priority="527">
      <formula>$Z$90=TRUE</formula>
    </cfRule>
  </conditionalFormatting>
  <conditionalFormatting sqref="I90:J95">
    <cfRule type="expression" dxfId="343" priority="526">
      <formula>$Y$90=TRUE</formula>
    </cfRule>
  </conditionalFormatting>
  <conditionalFormatting sqref="K97:L102">
    <cfRule type="expression" dxfId="342" priority="525">
      <formula>$Z$91=TRUE</formula>
    </cfRule>
  </conditionalFormatting>
  <conditionalFormatting sqref="I97:J102">
    <cfRule type="expression" dxfId="341" priority="524">
      <formula>$Y$91=TRUE</formula>
    </cfRule>
  </conditionalFormatting>
  <conditionalFormatting sqref="K104:L109">
    <cfRule type="expression" dxfId="340" priority="523">
      <formula>$Z$92=TRUE</formula>
    </cfRule>
  </conditionalFormatting>
  <conditionalFormatting sqref="I104:J109">
    <cfRule type="expression" dxfId="339" priority="522">
      <formula>$Y$92=TRUE</formula>
    </cfRule>
  </conditionalFormatting>
  <conditionalFormatting sqref="K111:L116">
    <cfRule type="expression" dxfId="338" priority="521">
      <formula>$Z$93=TRUE</formula>
    </cfRule>
  </conditionalFormatting>
  <conditionalFormatting sqref="I111:J116">
    <cfRule type="expression" dxfId="337" priority="520">
      <formula>$Y$93=TRUE</formula>
    </cfRule>
  </conditionalFormatting>
  <conditionalFormatting sqref="K118:L123">
    <cfRule type="expression" dxfId="336" priority="519">
      <formula>$Z$94=TRUE</formula>
    </cfRule>
  </conditionalFormatting>
  <conditionalFormatting sqref="I118:J123">
    <cfRule type="expression" dxfId="335" priority="518">
      <formula>$Y$94=TRUE</formula>
    </cfRule>
  </conditionalFormatting>
  <conditionalFormatting sqref="K125:L130">
    <cfRule type="expression" dxfId="334" priority="517">
      <formula>$Z$95=TRUE</formula>
    </cfRule>
  </conditionalFormatting>
  <conditionalFormatting sqref="I125:J130">
    <cfRule type="expression" dxfId="333" priority="516">
      <formula>$Y$95=TRUE</formula>
    </cfRule>
  </conditionalFormatting>
  <conditionalFormatting sqref="K132:L137">
    <cfRule type="expression" dxfId="332" priority="515">
      <formula>$Z$96=TRUE</formula>
    </cfRule>
  </conditionalFormatting>
  <conditionalFormatting sqref="I132:J137">
    <cfRule type="expression" dxfId="331" priority="514">
      <formula>$Y$96=TRUE</formula>
    </cfRule>
  </conditionalFormatting>
  <conditionalFormatting sqref="K139:L144">
    <cfRule type="expression" dxfId="330" priority="513">
      <formula>$Z$97=TRUE</formula>
    </cfRule>
  </conditionalFormatting>
  <conditionalFormatting sqref="I139:J144">
    <cfRule type="expression" dxfId="329" priority="512">
      <formula>$Y$97=TRUE</formula>
    </cfRule>
  </conditionalFormatting>
  <conditionalFormatting sqref="K146:L151">
    <cfRule type="expression" dxfId="328" priority="511">
      <formula>$Z$98=TRUE</formula>
    </cfRule>
  </conditionalFormatting>
  <conditionalFormatting sqref="I146:J151">
    <cfRule type="expression" dxfId="327" priority="510">
      <formula>$Y$98=TRUE</formula>
    </cfRule>
  </conditionalFormatting>
  <conditionalFormatting sqref="O83:R88">
    <cfRule type="expression" dxfId="326" priority="509">
      <formula>$X$89=TRUE</formula>
    </cfRule>
    <cfRule type="expression" dxfId="325" priority="83">
      <formula>T83=TRUE</formula>
    </cfRule>
    <cfRule type="expression" dxfId="324" priority="61">
      <formula>$T$84</formula>
    </cfRule>
    <cfRule type="expression" dxfId="323" priority="17">
      <formula>$T$82=TRUE</formula>
    </cfRule>
  </conditionalFormatting>
  <conditionalFormatting sqref="O90:R95">
    <cfRule type="expression" dxfId="322" priority="508">
      <formula>$X$90=TRUE</formula>
    </cfRule>
    <cfRule type="expression" dxfId="321" priority="100">
      <formula>S62=TRUE</formula>
    </cfRule>
  </conditionalFormatting>
  <conditionalFormatting sqref="O97:R102">
    <cfRule type="expression" dxfId="320" priority="507">
      <formula>$X$91=TRUE</formula>
    </cfRule>
  </conditionalFormatting>
  <conditionalFormatting sqref="O104:R109">
    <cfRule type="expression" dxfId="319" priority="506">
      <formula>$X$92=TRUE</formula>
    </cfRule>
  </conditionalFormatting>
  <conditionalFormatting sqref="O111:R116">
    <cfRule type="expression" dxfId="318" priority="505">
      <formula>$X$93=TRUE</formula>
    </cfRule>
  </conditionalFormatting>
  <conditionalFormatting sqref="O118:R123">
    <cfRule type="expression" dxfId="317" priority="504">
      <formula>$X$94=TRUE</formula>
    </cfRule>
  </conditionalFormatting>
  <conditionalFormatting sqref="O125:R130">
    <cfRule type="expression" dxfId="316" priority="503">
      <formula>$X$95=TRUE</formula>
    </cfRule>
  </conditionalFormatting>
  <conditionalFormatting sqref="O132:R137">
    <cfRule type="expression" dxfId="315" priority="502">
      <formula>$X$96=TRUE</formula>
    </cfRule>
  </conditionalFormatting>
  <conditionalFormatting sqref="O139:R144">
    <cfRule type="expression" dxfId="314" priority="501">
      <formula>$X$97=TRUE</formula>
    </cfRule>
  </conditionalFormatting>
  <conditionalFormatting sqref="O146:R151">
    <cfRule type="expression" dxfId="313" priority="500">
      <formula>$X$98=TRUE</formula>
    </cfRule>
  </conditionalFormatting>
  <conditionalFormatting sqref="C159:G160">
    <cfRule type="expression" dxfId="312" priority="111">
      <formula>V68=TRUE</formula>
    </cfRule>
    <cfRule type="expression" dxfId="311" priority="112">
      <formula>V69=TRUE</formula>
    </cfRule>
    <cfRule type="expression" dxfId="310" priority="304">
      <formula>V66=TRUE</formula>
    </cfRule>
    <cfRule type="expression" dxfId="309" priority="305">
      <formula>V64=TRUE</formula>
    </cfRule>
    <cfRule type="expression" dxfId="308" priority="307">
      <formula>OR($T$71=TRUE,T67=TRUE)</formula>
    </cfRule>
    <cfRule type="expression" dxfId="307" priority="308">
      <formula>$T$71=TRUE</formula>
    </cfRule>
    <cfRule type="expression" dxfId="306" priority="309">
      <formula>$T$66=TRUE</formula>
    </cfRule>
    <cfRule type="expression" dxfId="305" priority="377">
      <formula>$U$64=TRUE</formula>
    </cfRule>
    <cfRule type="expression" dxfId="304" priority="378">
      <formula>$T$64=TRUE</formula>
    </cfRule>
    <cfRule type="expression" dxfId="303" priority="379">
      <formula>$U$66=TRUE</formula>
    </cfRule>
    <cfRule type="expression" dxfId="302" priority="384">
      <formula>$U$71=TRUE</formula>
    </cfRule>
    <cfRule type="expression" dxfId="301" priority="385">
      <formula>$U$63=TRUE</formula>
    </cfRule>
    <cfRule type="expression" dxfId="300" priority="388">
      <formula>$W$59=TRUE</formula>
    </cfRule>
  </conditionalFormatting>
  <conditionalFormatting sqref="C158:G158">
    <cfRule type="expression" dxfId="299" priority="380">
      <formula>OR($T$71=TRUE,T67=TRUE)</formula>
    </cfRule>
    <cfRule type="expression" dxfId="298" priority="381">
      <formula>$T$67=TRUE</formula>
    </cfRule>
    <cfRule type="expression" dxfId="297" priority="386">
      <formula>$U$64=TRUE</formula>
    </cfRule>
    <cfRule type="expression" dxfId="296" priority="387">
      <formula>$W$59=TRUE</formula>
    </cfRule>
  </conditionalFormatting>
  <conditionalFormatting sqref="C159:G160">
    <cfRule type="expression" dxfId="295" priority="389">
      <formula>$X$104=TRUE</formula>
    </cfRule>
    <cfRule type="expression" dxfId="294" priority="390">
      <formula>$W$59=TRUE</formula>
    </cfRule>
  </conditionalFormatting>
  <conditionalFormatting sqref="C158:G160">
    <cfRule type="expression" dxfId="293" priority="391">
      <formula>$X$104=TRUE</formula>
    </cfRule>
  </conditionalFormatting>
  <conditionalFormatting sqref="C161:G162">
    <cfRule type="expression" dxfId="292" priority="302">
      <formula>V72</formula>
    </cfRule>
    <cfRule type="expression" dxfId="291" priority="376">
      <formula>$T$71=TRUE</formula>
    </cfRule>
    <cfRule type="expression" dxfId="290" priority="392">
      <formula>$W$59=TRUE</formula>
    </cfRule>
    <cfRule type="expression" dxfId="289" priority="393">
      <formula>$X$105=TRUE</formula>
    </cfRule>
    <cfRule type="expression" dxfId="288" priority="394">
      <formula>$X$105=TRUE</formula>
    </cfRule>
  </conditionalFormatting>
  <conditionalFormatting sqref="C158:G158">
    <cfRule type="expression" dxfId="287" priority="395">
      <formula>$X$104=TRUE</formula>
    </cfRule>
  </conditionalFormatting>
  <conditionalFormatting sqref="H158:H160">
    <cfRule type="expression" dxfId="286" priority="373">
      <formula>$W$59=TRUE</formula>
    </cfRule>
  </conditionalFormatting>
  <conditionalFormatting sqref="H158:H160">
    <cfRule type="expression" dxfId="285" priority="374">
      <formula>$Y$104=TRUE</formula>
    </cfRule>
    <cfRule type="expression" dxfId="284" priority="375">
      <formula>$X$104=TRUE</formula>
    </cfRule>
  </conditionalFormatting>
  <conditionalFormatting sqref="I158:L160">
    <cfRule type="expression" dxfId="283" priority="371">
      <formula>$Y$104=TRUE</formula>
    </cfRule>
    <cfRule type="expression" dxfId="282" priority="372">
      <formula>$W$59=TRUE</formula>
    </cfRule>
  </conditionalFormatting>
  <conditionalFormatting sqref="H161">
    <cfRule type="expression" dxfId="281" priority="369">
      <formula>$W$59=TRUE</formula>
    </cfRule>
  </conditionalFormatting>
  <conditionalFormatting sqref="H161">
    <cfRule type="expression" dxfId="280" priority="370">
      <formula>$X$105=TRUE</formula>
    </cfRule>
  </conditionalFormatting>
  <conditionalFormatting sqref="I161:L161">
    <cfRule type="expression" dxfId="279" priority="368">
      <formula>$W$59=TRUE</formula>
    </cfRule>
  </conditionalFormatting>
  <conditionalFormatting sqref="M158:M160">
    <cfRule type="expression" dxfId="278" priority="367">
      <formula>$W$59=TRUE</formula>
    </cfRule>
  </conditionalFormatting>
  <conditionalFormatting sqref="C157:L157">
    <cfRule type="expression" dxfId="277" priority="365">
      <formula>$W$59=TRUE</formula>
    </cfRule>
  </conditionalFormatting>
  <conditionalFormatting sqref="I157:L157">
    <cfRule type="expression" dxfId="276" priority="366">
      <formula>$Y$104=TRUE</formula>
    </cfRule>
  </conditionalFormatting>
  <conditionalFormatting sqref="B159:B160">
    <cfRule type="expression" dxfId="275" priority="364">
      <formula>$W$59=TRUE</formula>
    </cfRule>
  </conditionalFormatting>
  <conditionalFormatting sqref="B158">
    <cfRule type="expression" dxfId="274" priority="363">
      <formula>$W$59=TRUE</formula>
    </cfRule>
  </conditionalFormatting>
  <conditionalFormatting sqref="C164:L165">
    <cfRule type="expression" dxfId="273" priority="362">
      <formula>$W$59=TRUE</formula>
    </cfRule>
  </conditionalFormatting>
  <conditionalFormatting sqref="C168:D169">
    <cfRule type="expression" dxfId="272" priority="361">
      <formula>$W$59=TRUE</formula>
    </cfRule>
  </conditionalFormatting>
  <conditionalFormatting sqref="C168:D169">
    <cfRule type="expression" dxfId="271" priority="360">
      <formula>$W$59=TRUE</formula>
    </cfRule>
  </conditionalFormatting>
  <conditionalFormatting sqref="C170:D179">
    <cfRule type="expression" dxfId="270" priority="359">
      <formula>$W$59=TRUE</formula>
    </cfRule>
  </conditionalFormatting>
  <conditionalFormatting sqref="C170:D179">
    <cfRule type="expression" dxfId="269" priority="358">
      <formula>$W$59=TRUE</formula>
    </cfRule>
  </conditionalFormatting>
  <conditionalFormatting sqref="C170:D179">
    <cfRule type="expression" dxfId="268" priority="357">
      <formula>$T$48=TRUE</formula>
    </cfRule>
  </conditionalFormatting>
  <conditionalFormatting sqref="E168:E169">
    <cfRule type="expression" dxfId="267" priority="356">
      <formula>$W$59=TRUE</formula>
    </cfRule>
  </conditionalFormatting>
  <conditionalFormatting sqref="E168:E169">
    <cfRule type="expression" dxfId="266" priority="355">
      <formula>$W$59=TRUE</formula>
    </cfRule>
  </conditionalFormatting>
  <conditionalFormatting sqref="E170:E179">
    <cfRule type="expression" dxfId="265" priority="354">
      <formula>$W$59=TRUE</formula>
    </cfRule>
  </conditionalFormatting>
  <conditionalFormatting sqref="E170:E179">
    <cfRule type="expression" dxfId="264" priority="353">
      <formula>$W$59=TRUE</formula>
    </cfRule>
  </conditionalFormatting>
  <conditionalFormatting sqref="E170:E179">
    <cfRule type="expression" dxfId="263" priority="352">
      <formula>$T$48=TRUE</formula>
    </cfRule>
  </conditionalFormatting>
  <conditionalFormatting sqref="F170:F179">
    <cfRule type="expression" dxfId="262" priority="351">
      <formula>$W$59=TRUE</formula>
    </cfRule>
  </conditionalFormatting>
  <conditionalFormatting sqref="F170:F179">
    <cfRule type="expression" dxfId="261" priority="350">
      <formula>$W$59=TRUE</formula>
    </cfRule>
  </conditionalFormatting>
  <conditionalFormatting sqref="F170:F179">
    <cfRule type="expression" dxfId="260" priority="349">
      <formula>$T$48=TRUE</formula>
    </cfRule>
  </conditionalFormatting>
  <conditionalFormatting sqref="F168 F169:G169">
    <cfRule type="expression" dxfId="259" priority="348">
      <formula>$W$59=TRUE</formula>
    </cfRule>
  </conditionalFormatting>
  <conditionalFormatting sqref="F168:G168">
    <cfRule type="expression" dxfId="258" priority="347">
      <formula>$W$59=TRUE</formula>
    </cfRule>
  </conditionalFormatting>
  <conditionalFormatting sqref="G169">
    <cfRule type="expression" dxfId="257" priority="346">
      <formula>$W$59=TRUE</formula>
    </cfRule>
  </conditionalFormatting>
  <conditionalFormatting sqref="F169">
    <cfRule type="expression" dxfId="256" priority="345">
      <formula>$W$59=TRUE</formula>
    </cfRule>
  </conditionalFormatting>
  <conditionalFormatting sqref="G170:G179">
    <cfRule type="expression" dxfId="255" priority="344">
      <formula>$W$59=TRUE</formula>
    </cfRule>
  </conditionalFormatting>
  <conditionalFormatting sqref="G170:G179">
    <cfRule type="expression" dxfId="254" priority="343">
      <formula>$W$59=TRUE</formula>
    </cfRule>
  </conditionalFormatting>
  <conditionalFormatting sqref="G170:G179">
    <cfRule type="expression" dxfId="253" priority="342">
      <formula>$T$48=TRUE</formula>
    </cfRule>
  </conditionalFormatting>
  <conditionalFormatting sqref="H168">
    <cfRule type="expression" dxfId="252" priority="341">
      <formula>$W$59=TRUE</formula>
    </cfRule>
  </conditionalFormatting>
  <conditionalFormatting sqref="H170:I179">
    <cfRule type="expression" dxfId="251" priority="340">
      <formula>$W$59=TRUE</formula>
    </cfRule>
  </conditionalFormatting>
  <conditionalFormatting sqref="H170:I179">
    <cfRule type="expression" dxfId="250" priority="339">
      <formula>$W$59=TRUE</formula>
    </cfRule>
  </conditionalFormatting>
  <conditionalFormatting sqref="H170:I179">
    <cfRule type="expression" dxfId="249" priority="338">
      <formula>$W$59=TRUE</formula>
    </cfRule>
  </conditionalFormatting>
  <conditionalFormatting sqref="H168:I169">
    <cfRule type="expression" dxfId="248" priority="337">
      <formula>$W$59=TRUE</formula>
    </cfRule>
  </conditionalFormatting>
  <conditionalFormatting sqref="H170:I179">
    <cfRule type="expression" dxfId="247" priority="336">
      <formula>$T$48=TRUE</formula>
    </cfRule>
  </conditionalFormatting>
  <conditionalFormatting sqref="J168">
    <cfRule type="expression" dxfId="246" priority="335">
      <formula>$W$59=TRUE</formula>
    </cfRule>
  </conditionalFormatting>
  <conditionalFormatting sqref="K170:K179">
    <cfRule type="expression" dxfId="245" priority="332">
      <formula>$W$59=TRUE</formula>
    </cfRule>
  </conditionalFormatting>
  <conditionalFormatting sqref="K170:K179">
    <cfRule type="expression" dxfId="244" priority="331">
      <formula>$W$59=TRUE</formula>
    </cfRule>
  </conditionalFormatting>
  <conditionalFormatting sqref="J168:K169">
    <cfRule type="expression" dxfId="243" priority="330">
      <formula>$W$59=TRUE</formula>
    </cfRule>
  </conditionalFormatting>
  <conditionalFormatting sqref="K170">
    <cfRule type="expression" dxfId="242" priority="329">
      <formula>$AC$178=FALSE</formula>
    </cfRule>
  </conditionalFormatting>
  <conditionalFormatting sqref="K171">
    <cfRule type="expression" dxfId="241" priority="328">
      <formula>$AC$179=FALSE</formula>
    </cfRule>
  </conditionalFormatting>
  <conditionalFormatting sqref="K172">
    <cfRule type="expression" dxfId="240" priority="327">
      <formula>$AC$180=FALSE</formula>
    </cfRule>
  </conditionalFormatting>
  <conditionalFormatting sqref="K173">
    <cfRule type="expression" dxfId="239" priority="326">
      <formula>$AC$181=FALSE</formula>
    </cfRule>
  </conditionalFormatting>
  <conditionalFormatting sqref="K174">
    <cfRule type="expression" dxfId="238" priority="325">
      <formula>$AC$182=FALSE</formula>
    </cfRule>
  </conditionalFormatting>
  <conditionalFormatting sqref="K175">
    <cfRule type="expression" dxfId="237" priority="324">
      <formula>$AC$183=FALSE</formula>
    </cfRule>
  </conditionalFormatting>
  <conditionalFormatting sqref="K176">
    <cfRule type="expression" dxfId="236" priority="323">
      <formula>$AC$184=FALSE</formula>
    </cfRule>
  </conditionalFormatting>
  <conditionalFormatting sqref="K177">
    <cfRule type="expression" dxfId="235" priority="322">
      <formula>$AC$185=FALSE</formula>
    </cfRule>
  </conditionalFormatting>
  <conditionalFormatting sqref="K178">
    <cfRule type="expression" dxfId="234" priority="321">
      <formula>$AC$186=FALSE</formula>
    </cfRule>
  </conditionalFormatting>
  <conditionalFormatting sqref="K179">
    <cfRule type="expression" dxfId="233" priority="320">
      <formula>$AC$187=FALSE</formula>
    </cfRule>
  </conditionalFormatting>
  <conditionalFormatting sqref="K170:K179">
    <cfRule type="expression" dxfId="232" priority="319">
      <formula>$T$48=TRUE</formula>
    </cfRule>
  </conditionalFormatting>
  <conditionalFormatting sqref="L168:L169">
    <cfRule type="expression" dxfId="231" priority="318">
      <formula>$W$59=TRUE</formula>
    </cfRule>
  </conditionalFormatting>
  <conditionalFormatting sqref="L168:L169">
    <cfRule type="expression" dxfId="230" priority="317">
      <formula>$W$59=TRUE</formula>
    </cfRule>
  </conditionalFormatting>
  <conditionalFormatting sqref="L170:L179">
    <cfRule type="expression" dxfId="229" priority="316">
      <formula>$W$59=TRUE</formula>
    </cfRule>
  </conditionalFormatting>
  <conditionalFormatting sqref="L170:L179">
    <cfRule type="expression" dxfId="228" priority="315">
      <formula>$W$59=TRUE</formula>
    </cfRule>
  </conditionalFormatting>
  <conditionalFormatting sqref="L170:L179">
    <cfRule type="expression" dxfId="227" priority="314">
      <formula>$T$48=TRUE</formula>
    </cfRule>
  </conditionalFormatting>
  <conditionalFormatting sqref="C181:L183">
    <cfRule type="expression" dxfId="226" priority="313">
      <formula>$W$188=FALSE</formula>
    </cfRule>
  </conditionalFormatting>
  <conditionalFormatting sqref="H162">
    <cfRule type="expression" dxfId="225" priority="113">
      <formula>T66=TRUE</formula>
    </cfRule>
    <cfRule type="expression" dxfId="224" priority="306">
      <formula>R72=TRUE</formula>
    </cfRule>
  </conditionalFormatting>
  <conditionalFormatting sqref="H162">
    <cfRule type="expression" dxfId="223" priority="311">
      <formula>$Y$104=TRUE</formula>
    </cfRule>
    <cfRule type="expression" dxfId="222" priority="312">
      <formula>$X$104=TRUE</formula>
    </cfRule>
  </conditionalFormatting>
  <conditionalFormatting sqref="J170:J178">
    <cfRule type="expression" dxfId="221" priority="294">
      <formula>$W$59=TRUE</formula>
    </cfRule>
  </conditionalFormatting>
  <conditionalFormatting sqref="J170:J178">
    <cfRule type="expression" dxfId="220" priority="293">
      <formula>$W$59=TRUE</formula>
    </cfRule>
  </conditionalFormatting>
  <conditionalFormatting sqref="J170">
    <cfRule type="expression" dxfId="219" priority="292">
      <formula>$AC$178=FALSE</formula>
    </cfRule>
  </conditionalFormatting>
  <conditionalFormatting sqref="J171">
    <cfRule type="expression" dxfId="218" priority="291">
      <formula>$AC$179=FALSE</formula>
    </cfRule>
  </conditionalFormatting>
  <conditionalFormatting sqref="J172">
    <cfRule type="expression" dxfId="217" priority="290">
      <formula>$AC$180=FALSE</formula>
    </cfRule>
  </conditionalFormatting>
  <conditionalFormatting sqref="J173">
    <cfRule type="expression" dxfId="216" priority="289">
      <formula>$AC$181=FALSE</formula>
    </cfRule>
  </conditionalFormatting>
  <conditionalFormatting sqref="J174">
    <cfRule type="expression" dxfId="215" priority="288">
      <formula>$AC$182=FALSE</formula>
    </cfRule>
  </conditionalFormatting>
  <conditionalFormatting sqref="J175">
    <cfRule type="expression" dxfId="214" priority="287">
      <formula>$AC$183=FALSE</formula>
    </cfRule>
  </conditionalFormatting>
  <conditionalFormatting sqref="J176">
    <cfRule type="expression" dxfId="213" priority="286">
      <formula>$AC$184=FALSE</formula>
    </cfRule>
  </conditionalFormatting>
  <conditionalFormatting sqref="J177">
    <cfRule type="expression" dxfId="212" priority="285">
      <formula>$AC$185=FALSE</formula>
    </cfRule>
  </conditionalFormatting>
  <conditionalFormatting sqref="J178">
    <cfRule type="expression" dxfId="211" priority="284">
      <formula>$AC$186=FALSE</formula>
    </cfRule>
  </conditionalFormatting>
  <conditionalFormatting sqref="J170:J178">
    <cfRule type="expression" dxfId="210" priority="283">
      <formula>$T$48=TRUE</formula>
    </cfRule>
  </conditionalFormatting>
  <conditionalFormatting sqref="J179">
    <cfRule type="expression" dxfId="209" priority="282">
      <formula>$W$59=TRUE</formula>
    </cfRule>
  </conditionalFormatting>
  <conditionalFormatting sqref="J179">
    <cfRule type="expression" dxfId="208" priority="281">
      <formula>$W$59=TRUE</formula>
    </cfRule>
  </conditionalFormatting>
  <conditionalFormatting sqref="J179">
    <cfRule type="expression" dxfId="207" priority="280">
      <formula>$AC$187=FALSE</formula>
    </cfRule>
  </conditionalFormatting>
  <conditionalFormatting sqref="J179">
    <cfRule type="expression" dxfId="206" priority="279">
      <formula>$T$48=TRUE</formula>
    </cfRule>
  </conditionalFormatting>
  <conditionalFormatting sqref="BY218:CD221">
    <cfRule type="expression" dxfId="205" priority="188">
      <formula>$W$59=TRUE</formula>
    </cfRule>
  </conditionalFormatting>
  <conditionalFormatting sqref="BU211:BX215">
    <cfRule type="expression" dxfId="204" priority="262">
      <formula>$W$59=TRUE</formula>
    </cfRule>
  </conditionalFormatting>
  <conditionalFormatting sqref="CB211:CD215">
    <cfRule type="expression" dxfId="203" priority="261">
      <formula>$W$59=TRUE</formula>
    </cfRule>
  </conditionalFormatting>
  <conditionalFormatting sqref="BY211:CA212">
    <cfRule type="expression" dxfId="202" priority="175">
      <formula>$W$59=TRUE</formula>
    </cfRule>
    <cfRule type="expression" dxfId="201" priority="212">
      <formula>$T$69=TRUE</formula>
    </cfRule>
    <cfRule type="expression" dxfId="200" priority="213">
      <formula>$T$70=TRUE</formula>
    </cfRule>
    <cfRule type="expression" dxfId="199" priority="214">
      <formula>$U$69=TRUE</formula>
    </cfRule>
    <cfRule type="expression" dxfId="198" priority="215">
      <formula>$U$70=TRUE</formula>
    </cfRule>
    <cfRule type="expression" dxfId="197" priority="220">
      <formula>$R$48=1</formula>
    </cfRule>
    <cfRule type="expression" dxfId="196" priority="221">
      <formula>$R$60=10</formula>
    </cfRule>
    <cfRule type="expression" dxfId="195" priority="222">
      <formula>$R$60=9</formula>
    </cfRule>
    <cfRule type="expression" dxfId="194" priority="269">
      <formula>$R$60=1</formula>
    </cfRule>
  </conditionalFormatting>
  <conditionalFormatting sqref="BU216:CD217">
    <cfRule type="expression" dxfId="193" priority="165">
      <formula>$W$59=TRUE</formula>
    </cfRule>
    <cfRule type="expression" dxfId="192" priority="258">
      <formula>$AS$213=TRUE</formula>
    </cfRule>
  </conditionalFormatting>
  <conditionalFormatting sqref="BU233:CD234">
    <cfRule type="expression" dxfId="191" priority="133">
      <formula>$W$59=TRUE</formula>
    </cfRule>
  </conditionalFormatting>
  <conditionalFormatting sqref="BU216:BX217">
    <cfRule type="expression" dxfId="190" priority="260">
      <formula>$AT$213=TRUE</formula>
    </cfRule>
  </conditionalFormatting>
  <conditionalFormatting sqref="BU211:BX212">
    <cfRule type="expression" dxfId="189" priority="264">
      <formula>$AS$211=TRUE</formula>
    </cfRule>
    <cfRule type="expression" dxfId="188" priority="272">
      <formula>$AT$211=TRUE</formula>
    </cfRule>
  </conditionalFormatting>
  <conditionalFormatting sqref="CB211:CD212">
    <cfRule type="expression" dxfId="187" priority="174">
      <formula>$AR$211=TRUE</formula>
    </cfRule>
    <cfRule type="expression" dxfId="186" priority="271">
      <formula>$AS$211=TRUE</formula>
    </cfRule>
    <cfRule type="expression" dxfId="185" priority="274">
      <formula>$AT$211=TRUE</formula>
    </cfRule>
    <cfRule type="expression" dxfId="184" priority="65">
      <formula>$T$84=TRUE</formula>
    </cfRule>
  </conditionalFormatting>
  <conditionalFormatting sqref="BU213:BX215">
    <cfRule type="expression" dxfId="183" priority="268">
      <formula>$AS$212=TRUE</formula>
    </cfRule>
    <cfRule type="expression" dxfId="182" priority="275">
      <formula>$AT$212=TRUE</formula>
    </cfRule>
  </conditionalFormatting>
  <conditionalFormatting sqref="CB213:CD215">
    <cfRule type="expression" dxfId="181" priority="169">
      <formula>$AR$212=TRUE</formula>
    </cfRule>
    <cfRule type="expression" dxfId="180" priority="263">
      <formula>$AS$212=TRUE</formula>
    </cfRule>
    <cfRule type="expression" dxfId="179" priority="267">
      <formula>$AT$212=TRUE</formula>
    </cfRule>
    <cfRule type="expression" dxfId="178" priority="101">
      <formula>S69=TRUE</formula>
    </cfRule>
    <cfRule type="expression" dxfId="177" priority="85">
      <formula>S62=TRUE</formula>
    </cfRule>
    <cfRule type="expression" dxfId="176" priority="64">
      <formula>$T$84=TRUE</formula>
    </cfRule>
  </conditionalFormatting>
  <conditionalFormatting sqref="BY213:CA215">
    <cfRule type="expression" dxfId="175" priority="265">
      <formula>$AS$212=TRUE</formula>
    </cfRule>
    <cfRule type="expression" dxfId="174" priority="266">
      <formula>$AT$212=TRUE</formula>
    </cfRule>
  </conditionalFormatting>
  <conditionalFormatting sqref="CB216:CD217">
    <cfRule type="expression" dxfId="173" priority="164">
      <formula>$AR$213=TRUE</formula>
    </cfRule>
    <cfRule type="expression" dxfId="172" priority="277">
      <formula>$AT$213=TRUE</formula>
    </cfRule>
    <cfRule type="expression" dxfId="171" priority="102">
      <formula>S69=TRUE</formula>
    </cfRule>
    <cfRule type="expression" dxfId="170" priority="84">
      <formula>S62=TRUE</formula>
    </cfRule>
    <cfRule type="expression" dxfId="169" priority="63">
      <formula>$T$84=TRUE</formula>
    </cfRule>
  </conditionalFormatting>
  <conditionalFormatting sqref="BY216:CA217">
    <cfRule type="expression" dxfId="168" priority="259">
      <formula>$AT$213=TRUE</formula>
    </cfRule>
  </conditionalFormatting>
  <conditionalFormatting sqref="BU218:BX221">
    <cfRule type="expression" dxfId="167" priority="276">
      <formula>$AT$214=TRUE</formula>
    </cfRule>
  </conditionalFormatting>
  <conditionalFormatting sqref="CB218:CD221">
    <cfRule type="expression" dxfId="166" priority="159">
      <formula>$AR$214=TRUE</formula>
    </cfRule>
    <cfRule type="expression" dxfId="165" priority="256">
      <formula>$AT$214=TRUE</formula>
    </cfRule>
    <cfRule type="expression" dxfId="164" priority="88">
      <formula>S62=TRUE</formula>
    </cfRule>
    <cfRule type="expression" dxfId="163" priority="62">
      <formula>$T$84=TRUE</formula>
    </cfRule>
  </conditionalFormatting>
  <conditionalFormatting sqref="BY218:CA221">
    <cfRule type="expression" dxfId="162" priority="255">
      <formula>$AT$214=TRUE</formula>
    </cfRule>
  </conditionalFormatting>
  <conditionalFormatting sqref="BU218:CD221">
    <cfRule type="expression" dxfId="161" priority="253">
      <formula>$AV$214=TRUE</formula>
    </cfRule>
    <cfRule type="expression" dxfId="160" priority="254">
      <formula>$AS$214=TRUE</formula>
    </cfRule>
  </conditionalFormatting>
  <conditionalFormatting sqref="BU222:BX223">
    <cfRule type="expression" dxfId="159" priority="251">
      <formula>$AT$215=TRUE</formula>
    </cfRule>
  </conditionalFormatting>
  <conditionalFormatting sqref="CB222:CD223">
    <cfRule type="expression" dxfId="158" priority="154">
      <formula>$AR$215=TRUE</formula>
    </cfRule>
    <cfRule type="expression" dxfId="157" priority="207">
      <formula>$W$59=TRUE</formula>
    </cfRule>
    <cfRule type="expression" dxfId="156" priority="250">
      <formula>$AT$215=TRUE</formula>
    </cfRule>
    <cfRule type="expression" dxfId="155" priority="87">
      <formula>S62=TRUE</formula>
    </cfRule>
    <cfRule type="expression" dxfId="154" priority="3">
      <formula>S69=TRUE</formula>
    </cfRule>
  </conditionalFormatting>
  <conditionalFormatting sqref="BY222:CA223">
    <cfRule type="expression" dxfId="153" priority="249">
      <formula>$AT$215=TRUE</formula>
    </cfRule>
  </conditionalFormatting>
  <conditionalFormatting sqref="BU224:CD225">
    <cfRule type="expression" dxfId="152" priority="152">
      <formula>$W$59=TRUE</formula>
    </cfRule>
    <cfRule type="expression" dxfId="151" priority="197">
      <formula>$AV$216=TRUE</formula>
    </cfRule>
    <cfRule type="expression" dxfId="150" priority="243">
      <formula>$AS$216=TRUE</formula>
    </cfRule>
  </conditionalFormatting>
  <conditionalFormatting sqref="BU224:BX225">
    <cfRule type="expression" dxfId="149" priority="246">
      <formula>$AT$216=TRUE</formula>
    </cfRule>
  </conditionalFormatting>
  <conditionalFormatting sqref="BY224:CA225">
    <cfRule type="expression" dxfId="148" priority="244">
      <formula>$AT$216=TRUE</formula>
    </cfRule>
  </conditionalFormatting>
  <conditionalFormatting sqref="BU226:BX228">
    <cfRule type="expression" dxfId="147" priority="241">
      <formula>$AT$217=TRUE</formula>
    </cfRule>
  </conditionalFormatting>
  <conditionalFormatting sqref="BY226:CA228">
    <cfRule type="expression" dxfId="146" priority="239">
      <formula>$AT$217=TRUE</formula>
    </cfRule>
  </conditionalFormatting>
  <conditionalFormatting sqref="BU226:CD228">
    <cfRule type="expression" dxfId="145" priority="148">
      <formula>$W$59=TRUE</formula>
    </cfRule>
    <cfRule type="expression" dxfId="144" priority="196">
      <formula>$AV$217=TRUE</formula>
    </cfRule>
    <cfRule type="expression" dxfId="143" priority="238">
      <formula>$AS$217=TRUE</formula>
    </cfRule>
  </conditionalFormatting>
  <conditionalFormatting sqref="BU231:BX232">
    <cfRule type="expression" dxfId="142" priority="236">
      <formula>$AT$219=TRUE</formula>
    </cfRule>
  </conditionalFormatting>
  <conditionalFormatting sqref="CB231:CD232">
    <cfRule type="expression" dxfId="141" priority="134">
      <formula>$AR$219=TRUE</formula>
    </cfRule>
    <cfRule type="expression" dxfId="140" priority="235">
      <formula>$AT$219=TRUE</formula>
    </cfRule>
  </conditionalFormatting>
  <conditionalFormatting sqref="BY231:CA232">
    <cfRule type="expression" dxfId="139" priority="234">
      <formula>$AT$219=TRUE</formula>
    </cfRule>
  </conditionalFormatting>
  <conditionalFormatting sqref="BU231:CD232">
    <cfRule type="expression" dxfId="138" priority="183">
      <formula>$AV$219=TRUE</formula>
    </cfRule>
    <cfRule type="expression" dxfId="137" priority="200">
      <formula>$W$59=TRUE</formula>
    </cfRule>
    <cfRule type="expression" dxfId="136" priority="233">
      <formula>$AS$219=TRUE</formula>
    </cfRule>
  </conditionalFormatting>
  <conditionalFormatting sqref="BU233:BX234">
    <cfRule type="expression" dxfId="135" priority="278">
      <formula>$AT$220=TRUE</formula>
    </cfRule>
  </conditionalFormatting>
  <conditionalFormatting sqref="CB233:CD234">
    <cfRule type="expression" dxfId="134" priority="129">
      <formula>$AR$220=TRUE</formula>
    </cfRule>
    <cfRule type="expression" dxfId="133" priority="192">
      <formula>$AS$220=TRUE</formula>
    </cfRule>
    <cfRule type="expression" dxfId="132" priority="231">
      <formula>$AT$220=TRUE</formula>
    </cfRule>
  </conditionalFormatting>
  <conditionalFormatting sqref="BU229:BX230">
    <cfRule type="expression" dxfId="131" priority="227">
      <formula>$AT$218=TRUE</formula>
    </cfRule>
  </conditionalFormatting>
  <conditionalFormatting sqref="BY229:CA230">
    <cfRule type="expression" dxfId="130" priority="225">
      <formula>$AT$218=TRUE</formula>
    </cfRule>
  </conditionalFormatting>
  <conditionalFormatting sqref="BU229:CD230">
    <cfRule type="expression" dxfId="129" priority="184">
      <formula>$AV$218=TRUE</formula>
    </cfRule>
    <cfRule type="expression" dxfId="128" priority="195">
      <formula>$W$59=TRUE</formula>
    </cfRule>
    <cfRule type="expression" dxfId="127" priority="224">
      <formula>$AS$218=TRUE</formula>
    </cfRule>
  </conditionalFormatting>
  <conditionalFormatting sqref="BU222:CD223">
    <cfRule type="expression" dxfId="126" priority="208">
      <formula>$AV$215=TRUE</formula>
    </cfRule>
    <cfRule type="expression" dxfId="125" priority="219">
      <formula>$AS$215=TRUE</formula>
    </cfRule>
  </conditionalFormatting>
  <conditionalFormatting sqref="BY211:BZ212">
    <cfRule type="expression" dxfId="124" priority="176">
      <formula>$AR$211=TRUE</formula>
    </cfRule>
    <cfRule type="expression" dxfId="123" priority="179">
      <formula>$AT$211=TRUE</formula>
    </cfRule>
    <cfRule type="expression" dxfId="122" priority="180">
      <formula>$AS$211=TRUE</formula>
    </cfRule>
    <cfRule type="expression" dxfId="121" priority="211">
      <formula>$AS$211=TRUE</formula>
    </cfRule>
    <cfRule type="expression" dxfId="120" priority="73">
      <formula>$T$84=TRUE</formula>
    </cfRule>
  </conditionalFormatting>
  <conditionalFormatting sqref="BU218:BU221">
    <cfRule type="expression" dxfId="119" priority="163">
      <formula>$W$59=TRUE</formula>
    </cfRule>
    <cfRule type="expression" dxfId="118" priority="209">
      <formula>$AR$214=TRUE</formula>
    </cfRule>
    <cfRule type="expression" dxfId="117" priority="98">
      <formula>S62=TRUE</formula>
    </cfRule>
    <cfRule type="expression" dxfId="116" priority="78">
      <formula>$T$84=TRUE</formula>
    </cfRule>
  </conditionalFormatting>
  <conditionalFormatting sqref="BU222:BU223">
    <cfRule type="expression" dxfId="115" priority="158">
      <formula>$W$59=TRUE</formula>
    </cfRule>
    <cfRule type="expression" dxfId="114" priority="205">
      <formula>$AR$215=TRUE</formula>
    </cfRule>
    <cfRule type="expression" dxfId="113" priority="97">
      <formula>S62=TRUE</formula>
    </cfRule>
    <cfRule type="expression" dxfId="112" priority="15">
      <formula>S69=TRUE</formula>
    </cfRule>
  </conditionalFormatting>
  <conditionalFormatting sqref="BY222:BZ223">
    <cfRule type="expression" dxfId="111" priority="156">
      <formula>$AR$215=TRUE</formula>
    </cfRule>
    <cfRule type="expression" dxfId="110" priority="206">
      <formula>$W$59=TRUE</formula>
    </cfRule>
    <cfRule type="expression" dxfId="109" priority="90">
      <formula>S62=TRUE</formula>
    </cfRule>
    <cfRule type="expression" dxfId="108" priority="9">
      <formula>S69=TRUE</formula>
    </cfRule>
  </conditionalFormatting>
  <conditionalFormatting sqref="BV222:BX223">
    <cfRule type="expression" dxfId="107" priority="157">
      <formula>$W$59=TRUE</formula>
    </cfRule>
    <cfRule type="expression" dxfId="106" priority="187">
      <formula>$AR$215=TRUE</formula>
    </cfRule>
    <cfRule type="expression" dxfId="105" priority="94">
      <formula>S62=TRUE</formula>
    </cfRule>
    <cfRule type="expression" dxfId="104" priority="12">
      <formula>S69=TRUE</formula>
    </cfRule>
  </conditionalFormatting>
  <conditionalFormatting sqref="CA222:CA223">
    <cfRule type="expression" dxfId="103" priority="155">
      <formula>$AR$215=TRUE</formula>
    </cfRule>
    <cfRule type="expression" dxfId="102" priority="204">
      <formula>$W$59=TRUE</formula>
    </cfRule>
    <cfRule type="expression" dxfId="101" priority="89">
      <formula>S62=TRUE</formula>
    </cfRule>
    <cfRule type="expression" dxfId="100" priority="6">
      <formula>S69=TRUE</formula>
    </cfRule>
  </conditionalFormatting>
  <conditionalFormatting sqref="CA213:CA215">
    <cfRule type="expression" dxfId="99" priority="125">
      <formula>$BQ$204=TRUE</formula>
    </cfRule>
    <cfRule type="expression" dxfId="98" priority="170">
      <formula>$AR$212=TRUE</formula>
    </cfRule>
    <cfRule type="expression" dxfId="97" priority="199">
      <formula>$W$59=TRUE</formula>
    </cfRule>
    <cfRule type="expression" dxfId="96" priority="103">
      <formula>S69=TRUE</formula>
    </cfRule>
    <cfRule type="expression" dxfId="95" priority="68">
      <formula>$T$84=TRUE</formula>
    </cfRule>
  </conditionalFormatting>
  <conditionalFormatting sqref="BY213:BZ215">
    <cfRule type="expression" dxfId="94" priority="171">
      <formula>$AR$212=TRUE</formula>
    </cfRule>
    <cfRule type="expression" dxfId="93" priority="198">
      <formula>$W$59=TRUE</formula>
    </cfRule>
    <cfRule type="expression" dxfId="92" priority="105">
      <formula>S69=TRUE</formula>
    </cfRule>
    <cfRule type="expression" dxfId="91" priority="72">
      <formula>$T$84=TRUE</formula>
    </cfRule>
  </conditionalFormatting>
  <conditionalFormatting sqref="CB224:CD225">
    <cfRule type="expression" dxfId="90" priority="149">
      <formula>$AR$216=TRUE</formula>
    </cfRule>
    <cfRule type="expression" dxfId="89" priority="203">
      <formula>$AT$216=TRUE</formula>
    </cfRule>
    <cfRule type="expression" dxfId="88" priority="2">
      <formula>S69=TRUE</formula>
    </cfRule>
  </conditionalFormatting>
  <conditionalFormatting sqref="CB226:CD228">
    <cfRule type="expression" dxfId="87" priority="144">
      <formula>$AR$217=TRUE</formula>
    </cfRule>
    <cfRule type="expression" dxfId="86" priority="202">
      <formula>$AT$217=TRUE</formula>
    </cfRule>
    <cfRule type="expression" dxfId="85" priority="1">
      <formula>S69=TRUE</formula>
    </cfRule>
  </conditionalFormatting>
  <conditionalFormatting sqref="CB229:CD230">
    <cfRule type="expression" dxfId="84" priority="139">
      <formula>$AR$218=TRUE</formula>
    </cfRule>
    <cfRule type="expression" dxfId="83" priority="201">
      <formula>$AT$218=TRUE</formula>
    </cfRule>
  </conditionalFormatting>
  <conditionalFormatting sqref="CA233:CA234">
    <cfRule type="expression" dxfId="82" priority="130">
      <formula>$AR$220=TRUE</formula>
    </cfRule>
    <cfRule type="expression" dxfId="81" priority="191">
      <formula>$AS$220=TRUE</formula>
    </cfRule>
    <cfRule type="expression" dxfId="80" priority="217">
      <formula>$AT$220=TRUE</formula>
    </cfRule>
  </conditionalFormatting>
  <conditionalFormatting sqref="BY233:BZ234">
    <cfRule type="expression" dxfId="79" priority="131">
      <formula>$AR$220=TRUE</formula>
    </cfRule>
    <cfRule type="expression" dxfId="78" priority="194">
      <formula>$AS$220=TRUE</formula>
    </cfRule>
  </conditionalFormatting>
  <conditionalFormatting sqref="BV233:BX234">
    <cfRule type="expression" dxfId="77" priority="132">
      <formula>$AR$220=TRUE</formula>
    </cfRule>
    <cfRule type="expression" dxfId="76" priority="193">
      <formula>$AS$220=TRUE</formula>
    </cfRule>
  </conditionalFormatting>
  <conditionalFormatting sqref="BV218:BX221">
    <cfRule type="expression" dxfId="75" priority="162">
      <formula>$W$59=TRUE</formula>
    </cfRule>
    <cfRule type="expression" dxfId="74" priority="189">
      <formula>$AR$214=TRUE</formula>
    </cfRule>
    <cfRule type="expression" dxfId="73" priority="95">
      <formula>S62=TRUE</formula>
    </cfRule>
    <cfRule type="expression" dxfId="72" priority="74">
      <formula>$T$84=TRUE</formula>
    </cfRule>
  </conditionalFormatting>
  <conditionalFormatting sqref="CA211:CA212">
    <cfRule type="expression" dxfId="71" priority="181">
      <formula>$AR$211=TRUE</formula>
    </cfRule>
    <cfRule type="expression" dxfId="70" priority="182">
      <formula>$AT$211=TRUE</formula>
    </cfRule>
    <cfRule type="expression" dxfId="69" priority="210">
      <formula>$AS$211=TRUE</formula>
    </cfRule>
    <cfRule type="expression" dxfId="68" priority="69">
      <formula>$T$84=TRUE</formula>
    </cfRule>
  </conditionalFormatting>
  <conditionalFormatting sqref="BU211:BU212">
    <cfRule type="expression" dxfId="67" priority="178">
      <formula>$AR$211=TRUE</formula>
    </cfRule>
    <cfRule type="expression" dxfId="66" priority="80">
      <formula>$T$84=TRUE</formula>
    </cfRule>
  </conditionalFormatting>
  <conditionalFormatting sqref="BV211:BX212">
    <cfRule type="expression" dxfId="65" priority="177">
      <formula>$AR$211=TRUE</formula>
    </cfRule>
    <cfRule type="expression" dxfId="64" priority="77">
      <formula>$T$84=TRUE</formula>
    </cfRule>
    <cfRule type="expression" dxfId="63" priority="16">
      <formula>T84=TRUE</formula>
    </cfRule>
  </conditionalFormatting>
  <conditionalFormatting sqref="BU213:BU215">
    <cfRule type="expression" dxfId="62" priority="173">
      <formula>$AR$212=TRUE</formula>
    </cfRule>
    <cfRule type="expression" dxfId="61" priority="109">
      <formula>S69=TRUE</formula>
    </cfRule>
    <cfRule type="expression" dxfId="60" priority="86">
      <formula>S62=TRUE</formula>
    </cfRule>
    <cfRule type="expression" dxfId="59" priority="81">
      <formula>$T$84=TRUE</formula>
    </cfRule>
  </conditionalFormatting>
  <conditionalFormatting sqref="BV213:BX215">
    <cfRule type="expression" dxfId="58" priority="128">
      <formula>$BQ$204=TRUE</formula>
    </cfRule>
    <cfRule type="expression" dxfId="57" priority="172">
      <formula>$AR$212=TRUE</formula>
    </cfRule>
    <cfRule type="expression" dxfId="56" priority="107">
      <formula>S69=TRUE</formula>
    </cfRule>
    <cfRule type="expression" dxfId="55" priority="76">
      <formula>$T$84=TRUE</formula>
    </cfRule>
  </conditionalFormatting>
  <conditionalFormatting sqref="BU216:BU217">
    <cfRule type="expression" dxfId="54" priority="126">
      <formula>$BQ$204=TRUE</formula>
    </cfRule>
    <cfRule type="expression" dxfId="53" priority="168">
      <formula>$AR$213=TRUE</formula>
    </cfRule>
    <cfRule type="expression" dxfId="52" priority="110">
      <formula>S69=TRUE</formula>
    </cfRule>
    <cfRule type="expression" dxfId="51" priority="99">
      <formula>S62=TRUE</formula>
    </cfRule>
    <cfRule type="expression" dxfId="50" priority="79">
      <formula>$T$84=TRUE</formula>
    </cfRule>
  </conditionalFormatting>
  <conditionalFormatting sqref="BV216:BX217">
    <cfRule type="expression" dxfId="49" priority="127">
      <formula>$BQ$204=TRUE</formula>
    </cfRule>
    <cfRule type="expression" dxfId="48" priority="167">
      <formula>$AR$213=TRUE</formula>
    </cfRule>
    <cfRule type="expression" dxfId="47" priority="108">
      <formula>S69=TRUE</formula>
    </cfRule>
    <cfRule type="expression" dxfId="46" priority="96">
      <formula>S62=TRUE</formula>
    </cfRule>
    <cfRule type="expression" dxfId="45" priority="75">
      <formula>$T$84=TRUE</formula>
    </cfRule>
  </conditionalFormatting>
  <conditionalFormatting sqref="BY216:BZ217">
    <cfRule type="expression" dxfId="44" priority="166">
      <formula>$AR$213=TRUE</formula>
    </cfRule>
    <cfRule type="expression" dxfId="43" priority="106">
      <formula>S69=TRUE</formula>
    </cfRule>
    <cfRule type="expression" dxfId="42" priority="93">
      <formula>S62=TRUE</formula>
    </cfRule>
    <cfRule type="expression" dxfId="41" priority="71">
      <formula>$T$84=TRUE</formula>
    </cfRule>
  </conditionalFormatting>
  <conditionalFormatting sqref="CA216:CA217">
    <cfRule type="expression" dxfId="40" priority="117">
      <formula>$BQ$200=TRUE</formula>
    </cfRule>
    <cfRule type="expression" dxfId="39" priority="124">
      <formula>$BQ$204=TRUE</formula>
    </cfRule>
    <cfRule type="expression" dxfId="38" priority="257">
      <formula>$AR$213=TRUE</formula>
    </cfRule>
    <cfRule type="expression" dxfId="37" priority="104">
      <formula>S62=TRUE</formula>
    </cfRule>
    <cfRule type="expression" dxfId="36" priority="67">
      <formula>$T$84=TRUE</formula>
    </cfRule>
  </conditionalFormatting>
  <conditionalFormatting sqref="BY218:BZ221">
    <cfRule type="expression" dxfId="35" priority="161">
      <formula>$AR$214=TRUE</formula>
    </cfRule>
    <cfRule type="expression" dxfId="34" priority="92">
      <formula>S62=TRUE</formula>
    </cfRule>
    <cfRule type="expression" dxfId="33" priority="70">
      <formula>$T$84=TRUE</formula>
    </cfRule>
  </conditionalFormatting>
  <conditionalFormatting sqref="CA218:CA221">
    <cfRule type="expression" dxfId="32" priority="160">
      <formula>$AR$214=TRUE</formula>
    </cfRule>
    <cfRule type="expression" dxfId="31" priority="91">
      <formula>S62=TRUE</formula>
    </cfRule>
    <cfRule type="expression" dxfId="30" priority="66">
      <formula>$T$84=TRUE</formula>
    </cfRule>
  </conditionalFormatting>
  <conditionalFormatting sqref="BU224:BU225">
    <cfRule type="expression" dxfId="29" priority="153">
      <formula>$AR$216=TRUE</formula>
    </cfRule>
    <cfRule type="expression" dxfId="28" priority="14">
      <formula>S69=TRUE</formula>
    </cfRule>
  </conditionalFormatting>
  <conditionalFormatting sqref="BV224:BX225">
    <cfRule type="expression" dxfId="27" priority="186">
      <formula>$AR$216=TRUE</formula>
    </cfRule>
    <cfRule type="expression" dxfId="26" priority="11">
      <formula>S69=TRUE</formula>
    </cfRule>
  </conditionalFormatting>
  <conditionalFormatting sqref="BY224:BZ225">
    <cfRule type="expression" dxfId="25" priority="151">
      <formula>$AR$216=TRUE</formula>
    </cfRule>
    <cfRule type="expression" dxfId="24" priority="8">
      <formula>S69=TRUE</formula>
    </cfRule>
  </conditionalFormatting>
  <conditionalFormatting sqref="CA224:CA225">
    <cfRule type="expression" dxfId="23" priority="150">
      <formula>$AR$216=TRUE</formula>
    </cfRule>
    <cfRule type="expression" dxfId="22" priority="5">
      <formula>S69=TRUE</formula>
    </cfRule>
  </conditionalFormatting>
  <conditionalFormatting sqref="BU226:BU228">
    <cfRule type="expression" dxfId="21" priority="185">
      <formula>$AR$217=TRUE</formula>
    </cfRule>
    <cfRule type="expression" dxfId="20" priority="13">
      <formula>S69=TRUE</formula>
    </cfRule>
  </conditionalFormatting>
  <conditionalFormatting sqref="BV226:BX228">
    <cfRule type="expression" dxfId="19" priority="147">
      <formula>$AR$217=TRUE</formula>
    </cfRule>
    <cfRule type="expression" dxfId="18" priority="10">
      <formula>S69=TRUE</formula>
    </cfRule>
  </conditionalFormatting>
  <conditionalFormatting sqref="BY226:BZ228">
    <cfRule type="expression" dxfId="17" priority="146">
      <formula>$AR$217=TRUE</formula>
    </cfRule>
    <cfRule type="expression" dxfId="16" priority="7">
      <formula>S69=TRUE</formula>
    </cfRule>
  </conditionalFormatting>
  <conditionalFormatting sqref="CA226:CA228">
    <cfRule type="expression" dxfId="15" priority="145">
      <formula>$AR$217=TRUE</formula>
    </cfRule>
    <cfRule type="expression" dxfId="14" priority="4">
      <formula>S69=TRUE</formula>
    </cfRule>
  </conditionalFormatting>
  <conditionalFormatting sqref="BU229:BU230">
    <cfRule type="expression" dxfId="13" priority="143">
      <formula>$AR$218=TRUE</formula>
    </cfRule>
  </conditionalFormatting>
  <conditionalFormatting sqref="BV229:BX230">
    <cfRule type="expression" dxfId="12" priority="142">
      <formula>$AR$218=TRUE</formula>
    </cfRule>
  </conditionalFormatting>
  <conditionalFormatting sqref="BY229:BZ230">
    <cfRule type="expression" dxfId="11" priority="141">
      <formula>$AR$218=TRUE</formula>
    </cfRule>
  </conditionalFormatting>
  <conditionalFormatting sqref="CA229:CA230">
    <cfRule type="expression" dxfId="10" priority="140">
      <formula>$AR$218=TRUE</formula>
    </cfRule>
  </conditionalFormatting>
  <conditionalFormatting sqref="BU231:BU232">
    <cfRule type="expression" dxfId="9" priority="138">
      <formula>$AR$219=TRUE</formula>
    </cfRule>
  </conditionalFormatting>
  <conditionalFormatting sqref="BV231:BX232">
    <cfRule type="expression" dxfId="8" priority="137">
      <formula>$AR$219=TRUE</formula>
    </cfRule>
  </conditionalFormatting>
  <conditionalFormatting sqref="BY231:BZ232">
    <cfRule type="expression" dxfId="7" priority="136">
      <formula>$AR$219=TRUE</formula>
    </cfRule>
  </conditionalFormatting>
  <conditionalFormatting sqref="CA231:CA232">
    <cfRule type="expression" dxfId="6" priority="135">
      <formula>$AR$219=TRUE</formula>
    </cfRule>
  </conditionalFormatting>
  <conditionalFormatting sqref="BU233:BU234">
    <cfRule type="expression" dxfId="5" priority="118">
      <formula>$AS$220=TRUE</formula>
    </cfRule>
    <cfRule type="expression" dxfId="4" priority="119">
      <formula>$AR$220=TRUE</formula>
    </cfRule>
    <cfRule type="expression" dxfId="3" priority="190">
      <formula>$AV$220=TRUE</formula>
    </cfRule>
  </conditionalFormatting>
  <conditionalFormatting sqref="M122:N123">
    <cfRule type="expression" dxfId="2" priority="114">
      <formula>V48=FALSE</formula>
    </cfRule>
  </conditionalFormatting>
  <conditionalFormatting sqref="D83:G88">
    <cfRule type="expression" dxfId="1" priority="19">
      <formula>$T$84=TRUE</formula>
    </cfRule>
    <cfRule type="expression" dxfId="0" priority="18">
      <formula>$T$82=TRUE</formula>
    </cfRule>
  </conditionalFormatting>
  <dataValidations disablePrompts="1" count="5">
    <dataValidation type="list" allowBlank="1" showInputMessage="1" showErrorMessage="1" errorTitle="Feil data..." error="Du kan bare velge mellom vannbasert (VB) eller løsemiddelbasert (LB)._x000a_" sqref="H170:I179" xr:uid="{00000000-0002-0000-0000-000000000000}">
      <formula1>$V$176:$V$177</formula1>
    </dataValidation>
    <dataValidation type="list" allowBlank="1" showInputMessage="1" showErrorMessage="1" errorTitle="Feil data..." error="Du kan bare velge mellom Ja og Nei." sqref="L170:L179" xr:uid="{00000000-0002-0000-0000-000001000000}">
      <formula1>$V$174:$V$175</formula1>
    </dataValidation>
    <dataValidation type="list" allowBlank="1" showInputMessage="1" showErrorMessage="1" errorTitle="Feil data..." error="Du må velge mellom a og l..." sqref="E170:E179" xr:uid="{00000000-0002-0000-0000-000002000000}">
      <formula1>$V$178:$V$189</formula1>
    </dataValidation>
    <dataValidation type="list" allowBlank="1" showInputMessage="1" showErrorMessage="1" sqref="K170:K179" xr:uid="{00000000-0002-0000-0000-000003000000}">
      <formula1>$W$174:$W$175</formula1>
    </dataValidation>
    <dataValidation type="list" allowBlank="1" showInputMessage="1" showErrorMessage="1" sqref="G170:G179" xr:uid="{00000000-0002-0000-0000-000004000000}">
      <formula1>$W$177</formula1>
    </dataValidation>
  </dataValidations>
  <hyperlinks>
    <hyperlink ref="O195" location="'Ark1'!A1" display="Tilbake til utfylling" xr:uid="{00000000-0004-0000-0000-000000000000}"/>
    <hyperlink ref="S152" location="'Ark1'!Utskriftsområde" display="'Ark1'!Utskriftsområde" xr:uid="{00000000-0004-0000-0000-000001000000}"/>
    <hyperlink ref="S145" location="'Ark1'!Utskriftsområde" display="'Ark1'!Utskriftsområde" xr:uid="{00000000-0004-0000-0000-000002000000}"/>
    <hyperlink ref="S124" location="'Ark1'!Utskriftsområde" display="'Ark1'!Utskriftsområde" xr:uid="{00000000-0004-0000-0000-000003000000}"/>
    <hyperlink ref="S117" location="'Ark1'!Utskriftsområde" display="'Ark1'!Utskriftsområde" xr:uid="{00000000-0004-0000-0000-000004000000}"/>
    <hyperlink ref="S89" location="'Ark1'!Utskriftsområde" display="'Ark1'!Utskriftsområde" xr:uid="{00000000-0004-0000-0000-000005000000}"/>
    <hyperlink ref="S138" location="'Ark1'!Utskriftsområde" display="'Ark1'!Utskriftsområde" xr:uid="{00000000-0004-0000-0000-000006000000}"/>
    <hyperlink ref="S131" location="'Ark1'!Utskriftsområde" display="'Ark1'!Utskriftsområde" xr:uid="{00000000-0004-0000-0000-000007000000}"/>
    <hyperlink ref="S96" location="'Ark1'!Utskriftsområde" display="'Ark1'!Utskriftsområde" xr:uid="{00000000-0004-0000-0000-000008000000}"/>
    <hyperlink ref="M179" location="'Ark1'!Utskriftsområde" display="'Ark1'!Utskriftsområde" xr:uid="{00000000-0004-0000-0000-000009000000}"/>
    <hyperlink ref="S95" location="'Ark1'!C170" display="'Ark1'!C170" xr:uid="{00000000-0004-0000-0000-00000A000000}"/>
    <hyperlink ref="S110" location="'Ark1'!Utskriftsområde" display="'Ark1'!Utskriftsområde" xr:uid="{00000000-0004-0000-0000-00000B000000}"/>
    <hyperlink ref="S103" location="'Ark1'!Utskriftsområde" display="'Ark1'!Utskriftsområde" xr:uid="{00000000-0004-0000-0000-00000C000000}"/>
  </hyperlinks>
  <pageMargins left="0.23622047244094491" right="0.23622047244094491" top="0.39370078740157483" bottom="0.19685039370078741" header="0" footer="0"/>
  <pageSetup paperSize="9" scale="90" orientation="portrait" r:id="rId1"/>
  <rowBreaks count="3" manualBreakCount="3">
    <brk id="128" min="1" max="62" man="1"/>
    <brk id="193" min="1" max="61" man="1"/>
    <brk id="245" max="16383" man="1"/>
  </rowBreaks>
  <colBreaks count="4" manualBreakCount="4">
    <brk id="8" max="269" man="1"/>
    <brk id="19" max="1048575" man="1"/>
    <brk id="27" min="1" max="239" man="1"/>
    <brk id="8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Drop Down 4">
              <controlPr defaultSize="0" autoLine="0" autoPict="0">
                <anchor moveWithCells="1">
                  <from>
                    <xdr:col>8</xdr:col>
                    <xdr:colOff>38100</xdr:colOff>
                    <xdr:row>7</xdr:row>
                    <xdr:rowOff>190500</xdr:rowOff>
                  </from>
                  <to>
                    <xdr:col>10</xdr:col>
                    <xdr:colOff>1085850</xdr:colOff>
                    <xdr:row>8</xdr:row>
                    <xdr:rowOff>247650</xdr:rowOff>
                  </to>
                </anchor>
              </controlPr>
            </control>
          </mc:Choice>
        </mc:AlternateContent>
        <mc:AlternateContent xmlns:mc="http://schemas.openxmlformats.org/markup-compatibility/2006">
          <mc:Choice Requires="x14">
            <control shapeId="1029" r:id="rId5" name="Drop Down 5">
              <controlPr defaultSize="0" autoLine="0" autoPict="0">
                <anchor moveWithCells="1">
                  <from>
                    <xdr:col>8</xdr:col>
                    <xdr:colOff>38100</xdr:colOff>
                    <xdr:row>11</xdr:row>
                    <xdr:rowOff>9525</xdr:rowOff>
                  </from>
                  <to>
                    <xdr:col>10</xdr:col>
                    <xdr:colOff>1085850</xdr:colOff>
                    <xdr:row>12</xdr:row>
                    <xdr:rowOff>0</xdr:rowOff>
                  </to>
                </anchor>
              </controlPr>
            </control>
          </mc:Choice>
        </mc:AlternateContent>
        <mc:AlternateContent xmlns:mc="http://schemas.openxmlformats.org/markup-compatibility/2006">
          <mc:Choice Requires="x14">
            <control shapeId="1030" r:id="rId6" name="Drop Down 6">
              <controlPr defaultSize="0" autoLine="0" autoPict="0">
                <anchor moveWithCells="1">
                  <from>
                    <xdr:col>8</xdr:col>
                    <xdr:colOff>38100</xdr:colOff>
                    <xdr:row>14</xdr:row>
                    <xdr:rowOff>9525</xdr:rowOff>
                  </from>
                  <to>
                    <xdr:col>10</xdr:col>
                    <xdr:colOff>1085850</xdr:colOff>
                    <xdr:row>15</xdr:row>
                    <xdr:rowOff>66675</xdr:rowOff>
                  </to>
                </anchor>
              </controlPr>
            </control>
          </mc:Choice>
        </mc:AlternateContent>
        <mc:AlternateContent xmlns:mc="http://schemas.openxmlformats.org/markup-compatibility/2006">
          <mc:Choice Requires="x14">
            <control shapeId="1046" r:id="rId7" name="Group Box 22">
              <controlPr defaultSize="0" autoFill="0" autoPict="0">
                <anchor moveWithCells="1">
                  <from>
                    <xdr:col>12</xdr:col>
                    <xdr:colOff>190500</xdr:colOff>
                    <xdr:row>81</xdr:row>
                    <xdr:rowOff>190500</xdr:rowOff>
                  </from>
                  <to>
                    <xdr:col>13</xdr:col>
                    <xdr:colOff>828675</xdr:colOff>
                    <xdr:row>88</xdr:row>
                    <xdr:rowOff>9525</xdr:rowOff>
                  </to>
                </anchor>
              </controlPr>
            </control>
          </mc:Choice>
        </mc:AlternateContent>
        <mc:AlternateContent xmlns:mc="http://schemas.openxmlformats.org/markup-compatibility/2006">
          <mc:Choice Requires="x14">
            <control shapeId="1047" r:id="rId8" name="Group Box 23">
              <controlPr defaultSize="0" autoFill="0" autoPict="0">
                <anchor moveWithCells="1">
                  <from>
                    <xdr:col>12</xdr:col>
                    <xdr:colOff>190500</xdr:colOff>
                    <xdr:row>89</xdr:row>
                    <xdr:rowOff>9525</xdr:rowOff>
                  </from>
                  <to>
                    <xdr:col>13</xdr:col>
                    <xdr:colOff>838200</xdr:colOff>
                    <xdr:row>95</xdr:row>
                    <xdr:rowOff>19050</xdr:rowOff>
                  </to>
                </anchor>
              </controlPr>
            </control>
          </mc:Choice>
        </mc:AlternateContent>
        <mc:AlternateContent xmlns:mc="http://schemas.openxmlformats.org/markup-compatibility/2006">
          <mc:Choice Requires="x14">
            <control shapeId="1048" r:id="rId9" name="Group Box 24">
              <controlPr defaultSize="0" autoFill="0" autoPict="0">
                <anchor moveWithCells="1">
                  <from>
                    <xdr:col>12</xdr:col>
                    <xdr:colOff>190500</xdr:colOff>
                    <xdr:row>96</xdr:row>
                    <xdr:rowOff>0</xdr:rowOff>
                  </from>
                  <to>
                    <xdr:col>13</xdr:col>
                    <xdr:colOff>838200</xdr:colOff>
                    <xdr:row>102</xdr:row>
                    <xdr:rowOff>9525</xdr:rowOff>
                  </to>
                </anchor>
              </controlPr>
            </control>
          </mc:Choice>
        </mc:AlternateContent>
        <mc:AlternateContent xmlns:mc="http://schemas.openxmlformats.org/markup-compatibility/2006">
          <mc:Choice Requires="x14">
            <control shapeId="1049" r:id="rId10" name="Group Box 25">
              <controlPr defaultSize="0" autoFill="0" autoPict="0">
                <anchor moveWithCells="1">
                  <from>
                    <xdr:col>12</xdr:col>
                    <xdr:colOff>190500</xdr:colOff>
                    <xdr:row>103</xdr:row>
                    <xdr:rowOff>0</xdr:rowOff>
                  </from>
                  <to>
                    <xdr:col>13</xdr:col>
                    <xdr:colOff>828675</xdr:colOff>
                    <xdr:row>109</xdr:row>
                    <xdr:rowOff>0</xdr:rowOff>
                  </to>
                </anchor>
              </controlPr>
            </control>
          </mc:Choice>
        </mc:AlternateContent>
        <mc:AlternateContent xmlns:mc="http://schemas.openxmlformats.org/markup-compatibility/2006">
          <mc:Choice Requires="x14">
            <control shapeId="1050" r:id="rId11" name="Group Box 26">
              <controlPr defaultSize="0" autoFill="0" autoPict="0">
                <anchor moveWithCells="1">
                  <from>
                    <xdr:col>12</xdr:col>
                    <xdr:colOff>200025</xdr:colOff>
                    <xdr:row>110</xdr:row>
                    <xdr:rowOff>0</xdr:rowOff>
                  </from>
                  <to>
                    <xdr:col>13</xdr:col>
                    <xdr:colOff>828675</xdr:colOff>
                    <xdr:row>116</xdr:row>
                    <xdr:rowOff>9525</xdr:rowOff>
                  </to>
                </anchor>
              </controlPr>
            </control>
          </mc:Choice>
        </mc:AlternateContent>
        <mc:AlternateContent xmlns:mc="http://schemas.openxmlformats.org/markup-compatibility/2006">
          <mc:Choice Requires="x14">
            <control shapeId="1051" r:id="rId12" name="Group Box 27">
              <controlPr defaultSize="0" autoFill="0" autoPict="0">
                <anchor moveWithCells="1">
                  <from>
                    <xdr:col>12</xdr:col>
                    <xdr:colOff>190500</xdr:colOff>
                    <xdr:row>117</xdr:row>
                    <xdr:rowOff>0</xdr:rowOff>
                  </from>
                  <to>
                    <xdr:col>13</xdr:col>
                    <xdr:colOff>838200</xdr:colOff>
                    <xdr:row>123</xdr:row>
                    <xdr:rowOff>9525</xdr:rowOff>
                  </to>
                </anchor>
              </controlPr>
            </control>
          </mc:Choice>
        </mc:AlternateContent>
        <mc:AlternateContent xmlns:mc="http://schemas.openxmlformats.org/markup-compatibility/2006">
          <mc:Choice Requires="x14">
            <control shapeId="1052" r:id="rId13" name="Group Box 28">
              <controlPr defaultSize="0" autoFill="0" autoPict="0">
                <anchor moveWithCells="1">
                  <from>
                    <xdr:col>12</xdr:col>
                    <xdr:colOff>200025</xdr:colOff>
                    <xdr:row>123</xdr:row>
                    <xdr:rowOff>180975</xdr:rowOff>
                  </from>
                  <to>
                    <xdr:col>13</xdr:col>
                    <xdr:colOff>819150</xdr:colOff>
                    <xdr:row>130</xdr:row>
                    <xdr:rowOff>19050</xdr:rowOff>
                  </to>
                </anchor>
              </controlPr>
            </control>
          </mc:Choice>
        </mc:AlternateContent>
        <mc:AlternateContent xmlns:mc="http://schemas.openxmlformats.org/markup-compatibility/2006">
          <mc:Choice Requires="x14">
            <control shapeId="1053" r:id="rId14" name="Group Box 29">
              <controlPr defaultSize="0" autoFill="0" autoPict="0">
                <anchor moveWithCells="1">
                  <from>
                    <xdr:col>12</xdr:col>
                    <xdr:colOff>190500</xdr:colOff>
                    <xdr:row>130</xdr:row>
                    <xdr:rowOff>190500</xdr:rowOff>
                  </from>
                  <to>
                    <xdr:col>13</xdr:col>
                    <xdr:colOff>819150</xdr:colOff>
                    <xdr:row>137</xdr:row>
                    <xdr:rowOff>0</xdr:rowOff>
                  </to>
                </anchor>
              </controlPr>
            </control>
          </mc:Choice>
        </mc:AlternateContent>
        <mc:AlternateContent xmlns:mc="http://schemas.openxmlformats.org/markup-compatibility/2006">
          <mc:Choice Requires="x14">
            <control shapeId="1054" r:id="rId15" name="Group Box 30">
              <controlPr defaultSize="0" autoFill="0" autoPict="0">
                <anchor moveWithCells="1">
                  <from>
                    <xdr:col>12</xdr:col>
                    <xdr:colOff>200025</xdr:colOff>
                    <xdr:row>137</xdr:row>
                    <xdr:rowOff>190500</xdr:rowOff>
                  </from>
                  <to>
                    <xdr:col>13</xdr:col>
                    <xdr:colOff>809625</xdr:colOff>
                    <xdr:row>144</xdr:row>
                    <xdr:rowOff>0</xdr:rowOff>
                  </to>
                </anchor>
              </controlPr>
            </control>
          </mc:Choice>
        </mc:AlternateContent>
        <mc:AlternateContent xmlns:mc="http://schemas.openxmlformats.org/markup-compatibility/2006">
          <mc:Choice Requires="x14">
            <control shapeId="1056" r:id="rId16" name="Option Button 32">
              <controlPr defaultSize="0" autoFill="0" autoLine="0" autoPict="0">
                <anchor moveWithCells="1">
                  <from>
                    <xdr:col>12</xdr:col>
                    <xdr:colOff>295275</xdr:colOff>
                    <xdr:row>84</xdr:row>
                    <xdr:rowOff>28575</xdr:rowOff>
                  </from>
                  <to>
                    <xdr:col>12</xdr:col>
                    <xdr:colOff>704850</xdr:colOff>
                    <xdr:row>85</xdr:row>
                    <xdr:rowOff>152400</xdr:rowOff>
                  </to>
                </anchor>
              </controlPr>
            </control>
          </mc:Choice>
        </mc:AlternateContent>
        <mc:AlternateContent xmlns:mc="http://schemas.openxmlformats.org/markup-compatibility/2006">
          <mc:Choice Requires="x14">
            <control shapeId="1057" r:id="rId17" name="Option Button 33">
              <controlPr defaultSize="0" autoFill="0" autoLine="0" autoPict="0">
                <anchor moveWithCells="1">
                  <from>
                    <xdr:col>13</xdr:col>
                    <xdr:colOff>266700</xdr:colOff>
                    <xdr:row>84</xdr:row>
                    <xdr:rowOff>28575</xdr:rowOff>
                  </from>
                  <to>
                    <xdr:col>13</xdr:col>
                    <xdr:colOff>695325</xdr:colOff>
                    <xdr:row>85</xdr:row>
                    <xdr:rowOff>152400</xdr:rowOff>
                  </to>
                </anchor>
              </controlPr>
            </control>
          </mc:Choice>
        </mc:AlternateContent>
        <mc:AlternateContent xmlns:mc="http://schemas.openxmlformats.org/markup-compatibility/2006">
          <mc:Choice Requires="x14">
            <control shapeId="1059" r:id="rId18" name="Option Button 35">
              <controlPr defaultSize="0" autoFill="0" autoLine="0" autoPict="0">
                <anchor moveWithCells="1">
                  <from>
                    <xdr:col>12</xdr:col>
                    <xdr:colOff>295275</xdr:colOff>
                    <xdr:row>91</xdr:row>
                    <xdr:rowOff>28575</xdr:rowOff>
                  </from>
                  <to>
                    <xdr:col>12</xdr:col>
                    <xdr:colOff>704850</xdr:colOff>
                    <xdr:row>92</xdr:row>
                    <xdr:rowOff>152400</xdr:rowOff>
                  </to>
                </anchor>
              </controlPr>
            </control>
          </mc:Choice>
        </mc:AlternateContent>
        <mc:AlternateContent xmlns:mc="http://schemas.openxmlformats.org/markup-compatibility/2006">
          <mc:Choice Requires="x14">
            <control shapeId="1060" r:id="rId19" name="Option Button 36">
              <controlPr defaultSize="0" autoFill="0" autoLine="0" autoPict="0">
                <anchor moveWithCells="1">
                  <from>
                    <xdr:col>13</xdr:col>
                    <xdr:colOff>257175</xdr:colOff>
                    <xdr:row>91</xdr:row>
                    <xdr:rowOff>28575</xdr:rowOff>
                  </from>
                  <to>
                    <xdr:col>13</xdr:col>
                    <xdr:colOff>685800</xdr:colOff>
                    <xdr:row>92</xdr:row>
                    <xdr:rowOff>152400</xdr:rowOff>
                  </to>
                </anchor>
              </controlPr>
            </control>
          </mc:Choice>
        </mc:AlternateContent>
        <mc:AlternateContent xmlns:mc="http://schemas.openxmlformats.org/markup-compatibility/2006">
          <mc:Choice Requires="x14">
            <control shapeId="1064" r:id="rId20" name="Option Button 40">
              <controlPr defaultSize="0" autoFill="0" autoLine="0" autoPict="0">
                <anchor moveWithCells="1">
                  <from>
                    <xdr:col>12</xdr:col>
                    <xdr:colOff>295275</xdr:colOff>
                    <xdr:row>98</xdr:row>
                    <xdr:rowOff>28575</xdr:rowOff>
                  </from>
                  <to>
                    <xdr:col>12</xdr:col>
                    <xdr:colOff>704850</xdr:colOff>
                    <xdr:row>99</xdr:row>
                    <xdr:rowOff>142875</xdr:rowOff>
                  </to>
                </anchor>
              </controlPr>
            </control>
          </mc:Choice>
        </mc:AlternateContent>
        <mc:AlternateContent xmlns:mc="http://schemas.openxmlformats.org/markup-compatibility/2006">
          <mc:Choice Requires="x14">
            <control shapeId="1065" r:id="rId21" name="Option Button 41">
              <controlPr defaultSize="0" autoFill="0" autoLine="0" autoPict="0">
                <anchor moveWithCells="1">
                  <from>
                    <xdr:col>13</xdr:col>
                    <xdr:colOff>257175</xdr:colOff>
                    <xdr:row>98</xdr:row>
                    <xdr:rowOff>38100</xdr:rowOff>
                  </from>
                  <to>
                    <xdr:col>13</xdr:col>
                    <xdr:colOff>685800</xdr:colOff>
                    <xdr:row>99</xdr:row>
                    <xdr:rowOff>152400</xdr:rowOff>
                  </to>
                </anchor>
              </controlPr>
            </control>
          </mc:Choice>
        </mc:AlternateContent>
        <mc:AlternateContent xmlns:mc="http://schemas.openxmlformats.org/markup-compatibility/2006">
          <mc:Choice Requires="x14">
            <control shapeId="1067" r:id="rId22" name="Option Button 43">
              <controlPr defaultSize="0" autoFill="0" autoLine="0" autoPict="0">
                <anchor moveWithCells="1">
                  <from>
                    <xdr:col>12</xdr:col>
                    <xdr:colOff>295275</xdr:colOff>
                    <xdr:row>105</xdr:row>
                    <xdr:rowOff>38100</xdr:rowOff>
                  </from>
                  <to>
                    <xdr:col>12</xdr:col>
                    <xdr:colOff>723900</xdr:colOff>
                    <xdr:row>106</xdr:row>
                    <xdr:rowOff>152400</xdr:rowOff>
                  </to>
                </anchor>
              </controlPr>
            </control>
          </mc:Choice>
        </mc:AlternateContent>
        <mc:AlternateContent xmlns:mc="http://schemas.openxmlformats.org/markup-compatibility/2006">
          <mc:Choice Requires="x14">
            <control shapeId="1068" r:id="rId23" name="Option Button 44">
              <controlPr defaultSize="0" autoFill="0" autoLine="0" autoPict="0">
                <anchor moveWithCells="1">
                  <from>
                    <xdr:col>12</xdr:col>
                    <xdr:colOff>295275</xdr:colOff>
                    <xdr:row>112</xdr:row>
                    <xdr:rowOff>38100</xdr:rowOff>
                  </from>
                  <to>
                    <xdr:col>12</xdr:col>
                    <xdr:colOff>704850</xdr:colOff>
                    <xdr:row>113</xdr:row>
                    <xdr:rowOff>152400</xdr:rowOff>
                  </to>
                </anchor>
              </controlPr>
            </control>
          </mc:Choice>
        </mc:AlternateContent>
        <mc:AlternateContent xmlns:mc="http://schemas.openxmlformats.org/markup-compatibility/2006">
          <mc:Choice Requires="x14">
            <control shapeId="1069" r:id="rId24" name="Option Button 45">
              <controlPr defaultSize="0" autoFill="0" autoLine="0" autoPict="0">
                <anchor moveWithCells="1">
                  <from>
                    <xdr:col>13</xdr:col>
                    <xdr:colOff>266700</xdr:colOff>
                    <xdr:row>112</xdr:row>
                    <xdr:rowOff>38100</xdr:rowOff>
                  </from>
                  <to>
                    <xdr:col>13</xdr:col>
                    <xdr:colOff>695325</xdr:colOff>
                    <xdr:row>113</xdr:row>
                    <xdr:rowOff>152400</xdr:rowOff>
                  </to>
                </anchor>
              </controlPr>
            </control>
          </mc:Choice>
        </mc:AlternateContent>
        <mc:AlternateContent xmlns:mc="http://schemas.openxmlformats.org/markup-compatibility/2006">
          <mc:Choice Requires="x14">
            <control shapeId="1070" r:id="rId25" name="Option Button 46">
              <controlPr defaultSize="0" autoFill="0" autoLine="0" autoPict="0">
                <anchor moveWithCells="1">
                  <from>
                    <xdr:col>12</xdr:col>
                    <xdr:colOff>295275</xdr:colOff>
                    <xdr:row>118</xdr:row>
                    <xdr:rowOff>142875</xdr:rowOff>
                  </from>
                  <to>
                    <xdr:col>12</xdr:col>
                    <xdr:colOff>657225</xdr:colOff>
                    <xdr:row>120</xdr:row>
                    <xdr:rowOff>57150</xdr:rowOff>
                  </to>
                </anchor>
              </controlPr>
            </control>
          </mc:Choice>
        </mc:AlternateContent>
        <mc:AlternateContent xmlns:mc="http://schemas.openxmlformats.org/markup-compatibility/2006">
          <mc:Choice Requires="x14">
            <control shapeId="1071" r:id="rId26" name="Option Button 47">
              <controlPr defaultSize="0" autoFill="0" autoLine="0" autoPict="0">
                <anchor moveWithCells="1">
                  <from>
                    <xdr:col>13</xdr:col>
                    <xdr:colOff>257175</xdr:colOff>
                    <xdr:row>118</xdr:row>
                    <xdr:rowOff>133350</xdr:rowOff>
                  </from>
                  <to>
                    <xdr:col>13</xdr:col>
                    <xdr:colOff>685800</xdr:colOff>
                    <xdr:row>120</xdr:row>
                    <xdr:rowOff>47625</xdr:rowOff>
                  </to>
                </anchor>
              </controlPr>
            </control>
          </mc:Choice>
        </mc:AlternateContent>
        <mc:AlternateContent xmlns:mc="http://schemas.openxmlformats.org/markup-compatibility/2006">
          <mc:Choice Requires="x14">
            <control shapeId="1072" r:id="rId27" name="Option Button 48">
              <controlPr defaultSize="0" autoFill="0" autoLine="0" autoPict="0">
                <anchor moveWithCells="1">
                  <from>
                    <xdr:col>12</xdr:col>
                    <xdr:colOff>295275</xdr:colOff>
                    <xdr:row>126</xdr:row>
                    <xdr:rowOff>38100</xdr:rowOff>
                  </from>
                  <to>
                    <xdr:col>12</xdr:col>
                    <xdr:colOff>704850</xdr:colOff>
                    <xdr:row>127</xdr:row>
                    <xdr:rowOff>152400</xdr:rowOff>
                  </to>
                </anchor>
              </controlPr>
            </control>
          </mc:Choice>
        </mc:AlternateContent>
        <mc:AlternateContent xmlns:mc="http://schemas.openxmlformats.org/markup-compatibility/2006">
          <mc:Choice Requires="x14">
            <control shapeId="1073" r:id="rId28" name="Option Button 49">
              <controlPr defaultSize="0" autoFill="0" autoLine="0" autoPict="0">
                <anchor moveWithCells="1">
                  <from>
                    <xdr:col>13</xdr:col>
                    <xdr:colOff>257175</xdr:colOff>
                    <xdr:row>126</xdr:row>
                    <xdr:rowOff>28575</xdr:rowOff>
                  </from>
                  <to>
                    <xdr:col>13</xdr:col>
                    <xdr:colOff>685800</xdr:colOff>
                    <xdr:row>127</xdr:row>
                    <xdr:rowOff>142875</xdr:rowOff>
                  </to>
                </anchor>
              </controlPr>
            </control>
          </mc:Choice>
        </mc:AlternateContent>
        <mc:AlternateContent xmlns:mc="http://schemas.openxmlformats.org/markup-compatibility/2006">
          <mc:Choice Requires="x14">
            <control shapeId="1074" r:id="rId29" name="Option Button 50">
              <controlPr defaultSize="0" autoFill="0" autoLine="0" autoPict="0">
                <anchor moveWithCells="1">
                  <from>
                    <xdr:col>12</xdr:col>
                    <xdr:colOff>295275</xdr:colOff>
                    <xdr:row>133</xdr:row>
                    <xdr:rowOff>28575</xdr:rowOff>
                  </from>
                  <to>
                    <xdr:col>12</xdr:col>
                    <xdr:colOff>704850</xdr:colOff>
                    <xdr:row>134</xdr:row>
                    <xdr:rowOff>142875</xdr:rowOff>
                  </to>
                </anchor>
              </controlPr>
            </control>
          </mc:Choice>
        </mc:AlternateContent>
        <mc:AlternateContent xmlns:mc="http://schemas.openxmlformats.org/markup-compatibility/2006">
          <mc:Choice Requires="x14">
            <control shapeId="1075" r:id="rId30" name="Option Button 51">
              <controlPr defaultSize="0" autoFill="0" autoLine="0" autoPict="0">
                <anchor moveWithCells="1">
                  <from>
                    <xdr:col>13</xdr:col>
                    <xdr:colOff>257175</xdr:colOff>
                    <xdr:row>133</xdr:row>
                    <xdr:rowOff>28575</xdr:rowOff>
                  </from>
                  <to>
                    <xdr:col>13</xdr:col>
                    <xdr:colOff>685800</xdr:colOff>
                    <xdr:row>134</xdr:row>
                    <xdr:rowOff>142875</xdr:rowOff>
                  </to>
                </anchor>
              </controlPr>
            </control>
          </mc:Choice>
        </mc:AlternateContent>
        <mc:AlternateContent xmlns:mc="http://schemas.openxmlformats.org/markup-compatibility/2006">
          <mc:Choice Requires="x14">
            <control shapeId="1076" r:id="rId31" name="Option Button 52">
              <controlPr defaultSize="0" autoFill="0" autoLine="0" autoPict="0">
                <anchor moveWithCells="1">
                  <from>
                    <xdr:col>12</xdr:col>
                    <xdr:colOff>295275</xdr:colOff>
                    <xdr:row>140</xdr:row>
                    <xdr:rowOff>28575</xdr:rowOff>
                  </from>
                  <to>
                    <xdr:col>12</xdr:col>
                    <xdr:colOff>704850</xdr:colOff>
                    <xdr:row>141</xdr:row>
                    <xdr:rowOff>152400</xdr:rowOff>
                  </to>
                </anchor>
              </controlPr>
            </control>
          </mc:Choice>
        </mc:AlternateContent>
        <mc:AlternateContent xmlns:mc="http://schemas.openxmlformats.org/markup-compatibility/2006">
          <mc:Choice Requires="x14">
            <control shapeId="1077" r:id="rId32" name="Option Button 53">
              <controlPr defaultSize="0" autoFill="0" autoLine="0" autoPict="0">
                <anchor moveWithCells="1">
                  <from>
                    <xdr:col>13</xdr:col>
                    <xdr:colOff>257175</xdr:colOff>
                    <xdr:row>140</xdr:row>
                    <xdr:rowOff>28575</xdr:rowOff>
                  </from>
                  <to>
                    <xdr:col>13</xdr:col>
                    <xdr:colOff>685800</xdr:colOff>
                    <xdr:row>141</xdr:row>
                    <xdr:rowOff>152400</xdr:rowOff>
                  </to>
                </anchor>
              </controlPr>
            </control>
          </mc:Choice>
        </mc:AlternateContent>
        <mc:AlternateContent xmlns:mc="http://schemas.openxmlformats.org/markup-compatibility/2006">
          <mc:Choice Requires="x14">
            <control shapeId="1101" r:id="rId33" name="Group Box 77">
              <controlPr defaultSize="0" autoFill="0" autoPict="0">
                <anchor moveWithCells="1">
                  <from>
                    <xdr:col>12</xdr:col>
                    <xdr:colOff>200025</xdr:colOff>
                    <xdr:row>144</xdr:row>
                    <xdr:rowOff>200025</xdr:rowOff>
                  </from>
                  <to>
                    <xdr:col>13</xdr:col>
                    <xdr:colOff>809625</xdr:colOff>
                    <xdr:row>151</xdr:row>
                    <xdr:rowOff>28575</xdr:rowOff>
                  </to>
                </anchor>
              </controlPr>
            </control>
          </mc:Choice>
        </mc:AlternateContent>
        <mc:AlternateContent xmlns:mc="http://schemas.openxmlformats.org/markup-compatibility/2006">
          <mc:Choice Requires="x14">
            <control shapeId="1102" r:id="rId34" name="Option Button 78">
              <controlPr defaultSize="0" autoFill="0" autoLine="0" autoPict="0">
                <anchor moveWithCells="1">
                  <from>
                    <xdr:col>12</xdr:col>
                    <xdr:colOff>304800</xdr:colOff>
                    <xdr:row>147</xdr:row>
                    <xdr:rowOff>19050</xdr:rowOff>
                  </from>
                  <to>
                    <xdr:col>12</xdr:col>
                    <xdr:colOff>714375</xdr:colOff>
                    <xdr:row>148</xdr:row>
                    <xdr:rowOff>142875</xdr:rowOff>
                  </to>
                </anchor>
              </controlPr>
            </control>
          </mc:Choice>
        </mc:AlternateContent>
        <mc:AlternateContent xmlns:mc="http://schemas.openxmlformats.org/markup-compatibility/2006">
          <mc:Choice Requires="x14">
            <control shapeId="1103" r:id="rId35" name="Option Button 79">
              <controlPr defaultSize="0" autoFill="0" autoLine="0" autoPict="0">
                <anchor moveWithCells="1">
                  <from>
                    <xdr:col>13</xdr:col>
                    <xdr:colOff>257175</xdr:colOff>
                    <xdr:row>147</xdr:row>
                    <xdr:rowOff>19050</xdr:rowOff>
                  </from>
                  <to>
                    <xdr:col>13</xdr:col>
                    <xdr:colOff>685800</xdr:colOff>
                    <xdr:row>148</xdr:row>
                    <xdr:rowOff>142875</xdr:rowOff>
                  </to>
                </anchor>
              </controlPr>
            </control>
          </mc:Choice>
        </mc:AlternateContent>
        <mc:AlternateContent xmlns:mc="http://schemas.openxmlformats.org/markup-compatibility/2006">
          <mc:Choice Requires="x14">
            <control shapeId="1115" r:id="rId36" name="Option Button 91">
              <controlPr defaultSize="0" autoFill="0" autoLine="0" autoPict="0">
                <anchor moveWithCells="1">
                  <from>
                    <xdr:col>12</xdr:col>
                    <xdr:colOff>295275</xdr:colOff>
                    <xdr:row>120</xdr:row>
                    <xdr:rowOff>133350</xdr:rowOff>
                  </from>
                  <to>
                    <xdr:col>12</xdr:col>
                    <xdr:colOff>695325</xdr:colOff>
                    <xdr:row>122</xdr:row>
                    <xdr:rowOff>47625</xdr:rowOff>
                  </to>
                </anchor>
              </controlPr>
            </control>
          </mc:Choice>
        </mc:AlternateContent>
        <mc:AlternateContent xmlns:mc="http://schemas.openxmlformats.org/markup-compatibility/2006">
          <mc:Choice Requires="x14">
            <control shapeId="1116" r:id="rId37" name="Drop Down 92">
              <controlPr defaultSize="0" autoLine="0" autoPict="0">
                <anchor moveWithCells="1">
                  <from>
                    <xdr:col>8</xdr:col>
                    <xdr:colOff>28575</xdr:colOff>
                    <xdr:row>5</xdr:row>
                    <xdr:rowOff>9525</xdr:rowOff>
                  </from>
                  <to>
                    <xdr:col>10</xdr:col>
                    <xdr:colOff>1076325</xdr:colOff>
                    <xdr:row>6</xdr:row>
                    <xdr:rowOff>9525</xdr:rowOff>
                  </to>
                </anchor>
              </controlPr>
            </control>
          </mc:Choice>
        </mc:AlternateContent>
        <mc:AlternateContent xmlns:mc="http://schemas.openxmlformats.org/markup-compatibility/2006">
          <mc:Choice Requires="x14">
            <control shapeId="1230" r:id="rId38" name="Option Button 206">
              <controlPr defaultSize="0" autoFill="0" autoLine="0" autoPict="0">
                <anchor moveWithCells="1">
                  <from>
                    <xdr:col>13</xdr:col>
                    <xdr:colOff>247650</xdr:colOff>
                    <xdr:row>105</xdr:row>
                    <xdr:rowOff>38100</xdr:rowOff>
                  </from>
                  <to>
                    <xdr:col>13</xdr:col>
                    <xdr:colOff>657225</xdr:colOff>
                    <xdr:row>106</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6</vt:i4>
      </vt:variant>
    </vt:vector>
  </HeadingPairs>
  <TitlesOfParts>
    <vt:vector size="7" baseType="lpstr">
      <vt:lpstr>Ark1</vt:lpstr>
      <vt:lpstr>'Ark1'!_ftn3</vt:lpstr>
      <vt:lpstr>'Ark1'!_ftn5</vt:lpstr>
      <vt:lpstr>'Ark1'!_ftnref1</vt:lpstr>
      <vt:lpstr>'Ark1'!_ftnref3</vt:lpstr>
      <vt:lpstr>'Ark1'!_ftnref5</vt:lpstr>
      <vt:lpstr>'Ark1'!Utskriftsområde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Arne Hammerstad</dc:creator>
  <cp:lastModifiedBy>Martyna Sojka</cp:lastModifiedBy>
  <cp:lastPrinted>2017-04-03T13:49:32Z</cp:lastPrinted>
  <dcterms:created xsi:type="dcterms:W3CDTF">2013-08-23T13:16:49Z</dcterms:created>
  <dcterms:modified xsi:type="dcterms:W3CDTF">2023-03-13T06:38:24Z</dcterms:modified>
</cp:coreProperties>
</file>