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iff" ContentType="image/tiff"/>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928"/>
  <workbookPr codeName="ThisWorkbook"/>
  <mc:AlternateContent xmlns:mc="http://schemas.openxmlformats.org/markup-compatibility/2006">
    <mc:Choice Requires="x15">
      <x15ac:absPath xmlns:x15ac="http://schemas.microsoft.com/office/spreadsheetml/2010/11/ac" url="https://norskbyggtjeneste-my.sharepoint.com/personal/mso_byggtjeneste_no/Documents/MSO/"/>
    </mc:Choice>
  </mc:AlternateContent>
  <xr:revisionPtr revIDLastSave="0" documentId="8_{B1C78766-34A7-4EED-B1A4-705782DB7827}" xr6:coauthVersionLast="47" xr6:coauthVersionMax="47" xr10:uidLastSave="{00000000-0000-0000-0000-000000000000}"/>
  <bookViews>
    <workbookView showSheetTabs="0" xWindow="3420" yWindow="3420" windowWidth="38700" windowHeight="15345" xr2:uid="{00000000-000D-0000-FFFF-FFFF00000000}"/>
  </bookViews>
  <sheets>
    <sheet name="Ark1" sheetId="1" r:id="rId1"/>
  </sheets>
  <definedNames>
    <definedName name="_ftn1" localSheetId="0">'Ark1'!#REF!</definedName>
    <definedName name="_ftn2" localSheetId="0">'Ark1'!#REF!</definedName>
    <definedName name="_ftn3" localSheetId="0">'Ark1'!$BW$194</definedName>
    <definedName name="_ftn4" localSheetId="0">'Ark1'!#REF!</definedName>
    <definedName name="_ftn5" localSheetId="0">'Ark1'!$BW$196</definedName>
    <definedName name="_ftnref1" localSheetId="0">'Ark1'!$AB$92</definedName>
    <definedName name="_ftnref3" localSheetId="0">'Ark1'!$E$108</definedName>
    <definedName name="_ftnref5" localSheetId="0">'Ark1'!$AD$91</definedName>
    <definedName name="_xlnm.Print_Area" localSheetId="0">'Ark1'!$BU$194:$CD$245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W95" i="1" l="1"/>
  <c r="W59" i="1"/>
  <c r="Q61" i="1" l="1"/>
  <c r="S49" i="1"/>
  <c r="X11" i="1"/>
  <c r="Q70" i="1"/>
  <c r="Q69" i="1"/>
  <c r="Q68" i="1"/>
  <c r="Q67" i="1"/>
  <c r="Q66" i="1"/>
  <c r="Q65" i="1"/>
  <c r="Q64" i="1"/>
  <c r="Q63" i="1"/>
  <c r="Q62" i="1"/>
  <c r="S50" i="1"/>
  <c r="S55" i="1"/>
  <c r="S51" i="1"/>
  <c r="O82" i="1"/>
  <c r="W49" i="1" l="1"/>
  <c r="S53" i="1" s="1"/>
  <c r="V64" i="1"/>
  <c r="C2" i="1" l="1"/>
  <c r="Q72" i="1"/>
  <c r="Q71" i="1"/>
  <c r="V66" i="1"/>
  <c r="AB59" i="1"/>
  <c r="T59" i="1"/>
  <c r="X59" i="1"/>
  <c r="V59" i="1"/>
  <c r="U59" i="1"/>
  <c r="R71" i="1" l="1"/>
  <c r="R70" i="1"/>
  <c r="Z82" i="1" l="1"/>
  <c r="Z70" i="1"/>
  <c r="BC82" i="1"/>
  <c r="V67" i="1"/>
  <c r="S103" i="1" s="1"/>
  <c r="T67" i="1"/>
  <c r="S67" i="1"/>
  <c r="R67" i="1"/>
  <c r="AM67" i="1" l="1"/>
  <c r="AE67" i="1"/>
  <c r="AD67" i="1"/>
  <c r="AN67" i="1"/>
  <c r="AI67" i="1"/>
  <c r="AD79" i="1"/>
  <c r="AH79" i="1"/>
  <c r="AH67" i="1"/>
  <c r="AM79" i="1"/>
  <c r="AS79" i="1"/>
  <c r="AS67" i="1"/>
  <c r="AT79" i="1"/>
  <c r="AT67" i="1"/>
  <c r="U63" i="1"/>
  <c r="BQ204" i="1" l="1"/>
  <c r="S146" i="1" l="1"/>
  <c r="S139" i="1"/>
  <c r="S132" i="1"/>
  <c r="S125" i="1"/>
  <c r="S118" i="1"/>
  <c r="S111" i="1"/>
  <c r="S104" i="1"/>
  <c r="S97" i="1"/>
  <c r="S90" i="1"/>
  <c r="S83" i="1"/>
  <c r="R56" i="1" l="1"/>
  <c r="R62" i="1"/>
  <c r="R63" i="1"/>
  <c r="R64" i="1"/>
  <c r="R65" i="1"/>
  <c r="R66" i="1"/>
  <c r="R68" i="1"/>
  <c r="R69" i="1"/>
  <c r="BU200" i="1"/>
  <c r="AC178" i="1"/>
  <c r="AU189" i="1" s="1"/>
  <c r="AT77" i="1" l="1"/>
  <c r="AT65" i="1"/>
  <c r="AT76" i="1"/>
  <c r="AT64" i="1"/>
  <c r="Z69" i="1"/>
  <c r="Z81" i="1"/>
  <c r="AD63" i="1"/>
  <c r="AU62" i="1"/>
  <c r="BG69" i="1"/>
  <c r="BF69" i="1"/>
  <c r="Z65" i="1"/>
  <c r="Z77" i="1"/>
  <c r="AD62" i="1"/>
  <c r="AD74" i="1"/>
  <c r="BC76" i="1"/>
  <c r="BB64" i="1"/>
  <c r="AL76" i="1"/>
  <c r="BF77" i="1"/>
  <c r="BE65" i="1"/>
  <c r="AW65" i="1"/>
  <c r="BB77" i="1"/>
  <c r="BB65" i="1"/>
  <c r="BA77" i="1"/>
  <c r="AS77" i="1"/>
  <c r="BA65" i="1"/>
  <c r="AS65" i="1"/>
  <c r="AX77" i="1"/>
  <c r="BF65" i="1"/>
  <c r="AX65" i="1"/>
  <c r="BE77" i="1"/>
  <c r="AW77" i="1"/>
  <c r="AS64" i="1"/>
  <c r="AK64" i="1"/>
  <c r="AP76" i="1"/>
  <c r="AG76" i="1"/>
  <c r="AP64" i="1"/>
  <c r="AG64" i="1"/>
  <c r="AO76" i="1"/>
  <c r="AF76" i="1"/>
  <c r="AO64" i="1"/>
  <c r="AF64" i="1"/>
  <c r="AL64" i="1"/>
  <c r="AS76" i="1"/>
  <c r="AK76" i="1"/>
  <c r="AX66" i="1"/>
  <c r="BM66" i="1"/>
  <c r="BM64" i="1"/>
  <c r="BM70" i="1"/>
  <c r="AX78" i="1"/>
  <c r="AW78" i="1"/>
  <c r="AW66" i="1"/>
  <c r="BO65" i="1"/>
  <c r="BN65" i="1"/>
  <c r="S95" i="1"/>
  <c r="AU194" i="1"/>
  <c r="AW188" i="1"/>
  <c r="AU196" i="1"/>
  <c r="AU195" i="1"/>
  <c r="R72" i="1"/>
  <c r="AU193" i="1"/>
  <c r="AU192" i="1"/>
  <c r="AU191" i="1"/>
  <c r="AU188" i="1"/>
  <c r="AU190" i="1"/>
  <c r="AU197" i="1"/>
  <c r="AP212" i="1" l="1"/>
  <c r="AP214" i="1" l="1"/>
  <c r="AP213" i="1"/>
  <c r="AD179" i="1" l="1"/>
  <c r="AD180" i="1"/>
  <c r="AD181" i="1"/>
  <c r="AD182" i="1"/>
  <c r="AD183" i="1"/>
  <c r="AD184" i="1"/>
  <c r="AD185" i="1"/>
  <c r="AD186" i="1"/>
  <c r="AD187" i="1"/>
  <c r="AD178" i="1"/>
  <c r="AQ188" i="1" s="1"/>
  <c r="AC180" i="1" l="1"/>
  <c r="AW190" i="1" s="1"/>
  <c r="W178" i="1"/>
  <c r="C164" i="1" l="1"/>
  <c r="M82" i="1" l="1"/>
  <c r="BR210" i="1" s="1"/>
  <c r="BY245" i="1" l="1"/>
  <c r="BY244" i="1"/>
  <c r="BV241" i="1"/>
  <c r="BQ234" i="1"/>
  <c r="BG234" i="1"/>
  <c r="BB234" i="1"/>
  <c r="BQ232" i="1"/>
  <c r="BG232" i="1"/>
  <c r="BB232" i="1"/>
  <c r="BQ230" i="1"/>
  <c r="BG230" i="1"/>
  <c r="BB230" i="1"/>
  <c r="BQ227" i="1"/>
  <c r="BG227" i="1"/>
  <c r="BB227" i="1"/>
  <c r="BQ225" i="1"/>
  <c r="BG225" i="1"/>
  <c r="BB225" i="1"/>
  <c r="BQ223" i="1"/>
  <c r="BG223" i="1"/>
  <c r="BB223" i="1"/>
  <c r="BQ220" i="1"/>
  <c r="BG220" i="1"/>
  <c r="BB220" i="1"/>
  <c r="BU208" i="1"/>
  <c r="AF207" i="1"/>
  <c r="AE206" i="1"/>
  <c r="AE205" i="1"/>
  <c r="AE204" i="1"/>
  <c r="BU203" i="1"/>
  <c r="AW184" i="1" s="1"/>
  <c r="BU195" i="1"/>
  <c r="AW182" i="1" s="1"/>
  <c r="BK194" i="1"/>
  <c r="BY198" i="1" s="1"/>
  <c r="W191" i="1"/>
  <c r="AC187" i="1"/>
  <c r="AW197" i="1" s="1"/>
  <c r="X187" i="1"/>
  <c r="W187" i="1"/>
  <c r="AC186" i="1"/>
  <c r="AW196" i="1" s="1"/>
  <c r="X186" i="1"/>
  <c r="W186" i="1"/>
  <c r="AU185" i="1"/>
  <c r="AP185" i="1"/>
  <c r="AC185" i="1"/>
  <c r="AW195" i="1" s="1"/>
  <c r="X185" i="1"/>
  <c r="W185" i="1"/>
  <c r="AU184" i="1"/>
  <c r="AP184" i="1"/>
  <c r="AQ192" i="1"/>
  <c r="AC184" i="1"/>
  <c r="AW194" i="1" s="1"/>
  <c r="X184" i="1"/>
  <c r="W184" i="1"/>
  <c r="AY183" i="1"/>
  <c r="AX183" i="1"/>
  <c r="AQ191" i="1"/>
  <c r="AC183" i="1"/>
  <c r="AW193" i="1" s="1"/>
  <c r="X183" i="1"/>
  <c r="W183" i="1"/>
  <c r="AC182" i="1"/>
  <c r="AW192" i="1" s="1"/>
  <c r="X182" i="1"/>
  <c r="W182" i="1"/>
  <c r="AC181" i="1"/>
  <c r="AW191" i="1" s="1"/>
  <c r="X181" i="1"/>
  <c r="W181" i="1"/>
  <c r="AQ190" i="1"/>
  <c r="X180" i="1"/>
  <c r="W180" i="1"/>
  <c r="AQ189" i="1"/>
  <c r="AC179" i="1"/>
  <c r="AW189" i="1" s="1"/>
  <c r="X179" i="1"/>
  <c r="W179" i="1"/>
  <c r="U179" i="1"/>
  <c r="X178" i="1"/>
  <c r="U178" i="1"/>
  <c r="U177" i="1"/>
  <c r="U176" i="1"/>
  <c r="U175" i="1"/>
  <c r="U174" i="1"/>
  <c r="U173" i="1"/>
  <c r="U172" i="1"/>
  <c r="U171" i="1"/>
  <c r="U170" i="1"/>
  <c r="Y119" i="1"/>
  <c r="X119" i="1"/>
  <c r="BL85" i="1"/>
  <c r="BH85" i="1"/>
  <c r="BD85" i="1"/>
  <c r="AZ85" i="1"/>
  <c r="AV85" i="1"/>
  <c r="AR85" i="1"/>
  <c r="AN85" i="1"/>
  <c r="BL73" i="1"/>
  <c r="K146" i="1" s="1"/>
  <c r="Z98" i="1" s="1"/>
  <c r="BH73" i="1"/>
  <c r="K139" i="1" s="1"/>
  <c r="Z97" i="1" s="1"/>
  <c r="V72" i="1"/>
  <c r="Y72" i="1" s="1"/>
  <c r="V71" i="1"/>
  <c r="U71" i="1"/>
  <c r="T71" i="1"/>
  <c r="S71" i="1"/>
  <c r="V70" i="1"/>
  <c r="U70" i="1"/>
  <c r="T70" i="1"/>
  <c r="S70" i="1"/>
  <c r="V69" i="1"/>
  <c r="U69" i="1"/>
  <c r="T69" i="1"/>
  <c r="S69" i="1"/>
  <c r="V68" i="1"/>
  <c r="U68" i="1"/>
  <c r="T68" i="1"/>
  <c r="S68" i="1"/>
  <c r="U67" i="1"/>
  <c r="U66" i="1"/>
  <c r="T66" i="1"/>
  <c r="S66" i="1"/>
  <c r="AL78" i="1" s="1"/>
  <c r="V65" i="1"/>
  <c r="U65" i="1"/>
  <c r="T65" i="1"/>
  <c r="S65" i="1"/>
  <c r="U64" i="1"/>
  <c r="T64" i="1"/>
  <c r="S64" i="1"/>
  <c r="V63" i="1"/>
  <c r="T63" i="1"/>
  <c r="S63" i="1"/>
  <c r="V62" i="1"/>
  <c r="U62" i="1"/>
  <c r="T62" i="1"/>
  <c r="S62" i="1"/>
  <c r="AF59" i="1"/>
  <c r="AE59" i="1"/>
  <c r="AD59" i="1"/>
  <c r="AC59" i="1"/>
  <c r="AA59" i="1"/>
  <c r="Z59" i="1"/>
  <c r="BI232" i="1"/>
  <c r="S59" i="1"/>
  <c r="AB55" i="1"/>
  <c r="Z54" i="1"/>
  <c r="S54" i="1"/>
  <c r="W50" i="1" s="1"/>
  <c r="Z53" i="1"/>
  <c r="Z52" i="1"/>
  <c r="S52" i="1"/>
  <c r="Z51" i="1"/>
  <c r="V51" i="1"/>
  <c r="AB49" i="1"/>
  <c r="Z48" i="1"/>
  <c r="V48" i="1"/>
  <c r="Z47" i="1"/>
  <c r="Z46" i="1"/>
  <c r="AB18" i="1"/>
  <c r="BU194" i="1"/>
  <c r="AP81" i="1" l="1"/>
  <c r="AP69" i="1"/>
  <c r="AQ81" i="1"/>
  <c r="AQ69" i="1"/>
  <c r="AT75" i="1"/>
  <c r="AT63" i="1"/>
  <c r="AL81" i="1"/>
  <c r="AT69" i="1"/>
  <c r="AT78" i="1"/>
  <c r="AT66" i="1"/>
  <c r="T83" i="1"/>
  <c r="Y74" i="1"/>
  <c r="AL74" i="1"/>
  <c r="AG80" i="1"/>
  <c r="AL80" i="1"/>
  <c r="AT82" i="1"/>
  <c r="AT70" i="1"/>
  <c r="AF68" i="1"/>
  <c r="AT68" i="1"/>
  <c r="AT80" i="1"/>
  <c r="AG81" i="1"/>
  <c r="AT81" i="1"/>
  <c r="AL67" i="1"/>
  <c r="AL79" i="1"/>
  <c r="AL77" i="1"/>
  <c r="AP77" i="1"/>
  <c r="AL82" i="1"/>
  <c r="Y82" i="1"/>
  <c r="AC71" i="1"/>
  <c r="AL71" i="1"/>
  <c r="AL83" i="1"/>
  <c r="AL70" i="1"/>
  <c r="AG70" i="1"/>
  <c r="AD82" i="1"/>
  <c r="AM82" i="1"/>
  <c r="AD70" i="1"/>
  <c r="AM70" i="1"/>
  <c r="AC82" i="1"/>
  <c r="AC70" i="1"/>
  <c r="AH82" i="1"/>
  <c r="AH70" i="1"/>
  <c r="AG82" i="1"/>
  <c r="Y70" i="1"/>
  <c r="AF67" i="1"/>
  <c r="AF69" i="1"/>
  <c r="AB69" i="1"/>
  <c r="AB81" i="1"/>
  <c r="T84" i="1"/>
  <c r="T82" i="1"/>
  <c r="AX81" i="1"/>
  <c r="AG69" i="1"/>
  <c r="AO81" i="1"/>
  <c r="AX69" i="1"/>
  <c r="AO69" i="1"/>
  <c r="AC81" i="1"/>
  <c r="AC69" i="1"/>
  <c r="AL69" i="1"/>
  <c r="AU81" i="1"/>
  <c r="AM69" i="1"/>
  <c r="AH69" i="1"/>
  <c r="AM81" i="1"/>
  <c r="X69" i="1"/>
  <c r="Y81" i="1"/>
  <c r="AH81" i="1"/>
  <c r="AD69" i="1"/>
  <c r="Y69" i="1"/>
  <c r="AD81" i="1"/>
  <c r="X81" i="1"/>
  <c r="AU69" i="1"/>
  <c r="AM80" i="1"/>
  <c r="AH80" i="1"/>
  <c r="AD80" i="1"/>
  <c r="AH77" i="1"/>
  <c r="AM77" i="1"/>
  <c r="AC74" i="1"/>
  <c r="AH83" i="1"/>
  <c r="AD83" i="1"/>
  <c r="AM83" i="1"/>
  <c r="AM78" i="1"/>
  <c r="AH78" i="1"/>
  <c r="AD71" i="1"/>
  <c r="AC83" i="1"/>
  <c r="AM71" i="1"/>
  <c r="AH71" i="1"/>
  <c r="AG83" i="1"/>
  <c r="AG71" i="1"/>
  <c r="AB71" i="1"/>
  <c r="Y83" i="1"/>
  <c r="Y71" i="1"/>
  <c r="AF71" i="1"/>
  <c r="S89" i="1"/>
  <c r="AF62" i="1"/>
  <c r="AD76" i="1"/>
  <c r="Y76" i="1"/>
  <c r="Z63" i="1"/>
  <c r="AD75" i="1"/>
  <c r="Y75" i="1"/>
  <c r="AI74" i="1"/>
  <c r="AI62" i="1"/>
  <c r="AA62" i="1"/>
  <c r="Z62" i="1"/>
  <c r="AH74" i="1"/>
  <c r="Y62" i="1"/>
  <c r="Z74" i="1"/>
  <c r="S110" i="1"/>
  <c r="S96" i="1"/>
  <c r="S131" i="1"/>
  <c r="AF65" i="1"/>
  <c r="AK65" i="1"/>
  <c r="AB65" i="1"/>
  <c r="Y63" i="1"/>
  <c r="AC63" i="1"/>
  <c r="AT62" i="1"/>
  <c r="AM62" i="1"/>
  <c r="AR62" i="1"/>
  <c r="AP62" i="1"/>
  <c r="AS62" i="1"/>
  <c r="AQ62" i="1"/>
  <c r="AL62" i="1"/>
  <c r="AX62" i="1"/>
  <c r="AW62" i="1"/>
  <c r="AE71" i="1"/>
  <c r="AN71" i="1"/>
  <c r="AI71" i="1"/>
  <c r="AN70" i="1"/>
  <c r="AI70" i="1"/>
  <c r="AE70" i="1"/>
  <c r="AB70" i="1"/>
  <c r="AM68" i="1"/>
  <c r="AV69" i="1"/>
  <c r="AV73" i="1" s="1"/>
  <c r="K118" i="1" s="1"/>
  <c r="Z94" i="1" s="1"/>
  <c r="AR69" i="1"/>
  <c r="AN69" i="1"/>
  <c r="AI69" i="1"/>
  <c r="AE69" i="1"/>
  <c r="AZ69" i="1"/>
  <c r="AZ73" i="1" s="1"/>
  <c r="K125" i="1" s="1"/>
  <c r="Z95" i="1" s="1"/>
  <c r="AY69" i="1"/>
  <c r="AO62" i="1"/>
  <c r="AK62" i="1"/>
  <c r="AC62" i="1"/>
  <c r="AC80" i="1"/>
  <c r="AC68" i="1"/>
  <c r="AN68" i="1"/>
  <c r="AI68" i="1"/>
  <c r="AE68" i="1"/>
  <c r="AG68" i="1"/>
  <c r="AL68" i="1"/>
  <c r="AD68" i="1"/>
  <c r="Y80" i="1"/>
  <c r="Y68" i="1"/>
  <c r="AH68" i="1"/>
  <c r="AK66" i="1"/>
  <c r="AF66" i="1"/>
  <c r="AB66" i="1"/>
  <c r="X67" i="1"/>
  <c r="AB67" i="1"/>
  <c r="AC67" i="1"/>
  <c r="AG67" i="1"/>
  <c r="Y67" i="1"/>
  <c r="AC79" i="1"/>
  <c r="AG79" i="1"/>
  <c r="Y79" i="1"/>
  <c r="AK79" i="1"/>
  <c r="AK67" i="1"/>
  <c r="AF79" i="1"/>
  <c r="AB79" i="1"/>
  <c r="S117" i="1"/>
  <c r="AD77" i="1"/>
  <c r="AG66" i="1"/>
  <c r="AC66" i="1"/>
  <c r="AF78" i="1"/>
  <c r="AB78" i="1"/>
  <c r="AL66" i="1"/>
  <c r="AE66" i="1"/>
  <c r="AK78" i="1"/>
  <c r="AN66" i="1"/>
  <c r="AI66" i="1"/>
  <c r="AG78" i="1"/>
  <c r="AC78" i="1"/>
  <c r="AD66" i="1"/>
  <c r="Y66" i="1"/>
  <c r="X66" i="1"/>
  <c r="AH66" i="1"/>
  <c r="AM66" i="1"/>
  <c r="Y78" i="1"/>
  <c r="AD78" i="1"/>
  <c r="AI77" i="1"/>
  <c r="AE65" i="1"/>
  <c r="AC77" i="1"/>
  <c r="AI65" i="1"/>
  <c r="AC65" i="1"/>
  <c r="AL65" i="1"/>
  <c r="AG65" i="1"/>
  <c r="AN65" i="1"/>
  <c r="AP65" i="1"/>
  <c r="AG77" i="1"/>
  <c r="AO77" i="1"/>
  <c r="Y77" i="1"/>
  <c r="AD65" i="1"/>
  <c r="AB77" i="1"/>
  <c r="Y65" i="1"/>
  <c r="AF77" i="1"/>
  <c r="AH65" i="1"/>
  <c r="AK77" i="1"/>
  <c r="AM65" i="1"/>
  <c r="AO65" i="1"/>
  <c r="AS74" i="1"/>
  <c r="AN62" i="1"/>
  <c r="S124" i="1"/>
  <c r="BQ198" i="1"/>
  <c r="AT74" i="1"/>
  <c r="AQ74" i="1"/>
  <c r="AM74" i="1"/>
  <c r="AJ85" i="1"/>
  <c r="AP74" i="1"/>
  <c r="AG62" i="1"/>
  <c r="AH62" i="1"/>
  <c r="AG74" i="1"/>
  <c r="AO74" i="1"/>
  <c r="AA63" i="1"/>
  <c r="AA64" i="1"/>
  <c r="Z64" i="1"/>
  <c r="I82" i="1"/>
  <c r="BQ210" i="1" s="1"/>
  <c r="BQ208" i="1" s="1"/>
  <c r="AL75" i="1"/>
  <c r="AC76" i="1"/>
  <c r="BA84" i="1"/>
  <c r="AS84" i="1"/>
  <c r="AK84" i="1"/>
  <c r="AB84" i="1"/>
  <c r="AG84" i="1"/>
  <c r="AX72" i="1"/>
  <c r="AO84" i="1"/>
  <c r="AW72" i="1"/>
  <c r="AT84" i="1"/>
  <c r="AL84" i="1"/>
  <c r="BB72" i="1"/>
  <c r="AL72" i="1"/>
  <c r="BA72" i="1"/>
  <c r="AS72" i="1"/>
  <c r="AK72" i="1"/>
  <c r="AB72" i="1"/>
  <c r="AP84" i="1"/>
  <c r="BF72" i="1"/>
  <c r="AG72" i="1"/>
  <c r="AW84" i="1"/>
  <c r="W84" i="1"/>
  <c r="AO72" i="1"/>
  <c r="W72" i="1"/>
  <c r="BF84" i="1"/>
  <c r="AX84" i="1"/>
  <c r="Y84" i="1"/>
  <c r="AP72" i="1"/>
  <c r="BE84" i="1"/>
  <c r="AF84" i="1"/>
  <c r="BE72" i="1"/>
  <c r="AF72" i="1"/>
  <c r="BB84" i="1"/>
  <c r="AC84" i="1"/>
  <c r="AT72" i="1"/>
  <c r="AC72" i="1"/>
  <c r="AW71" i="1"/>
  <c r="AT83" i="1"/>
  <c r="AT71" i="1"/>
  <c r="AP83" i="1"/>
  <c r="AP71" i="1"/>
  <c r="AX83" i="1"/>
  <c r="AX71" i="1"/>
  <c r="AW83" i="1"/>
  <c r="W83" i="1"/>
  <c r="W71" i="1"/>
  <c r="W82" i="1"/>
  <c r="W70" i="1"/>
  <c r="AP82" i="1"/>
  <c r="AK82" i="1"/>
  <c r="AS70" i="1"/>
  <c r="AP70" i="1"/>
  <c r="AS82" i="1"/>
  <c r="AK70" i="1"/>
  <c r="AO82" i="1"/>
  <c r="AO70" i="1"/>
  <c r="AK69" i="1"/>
  <c r="AS69" i="1"/>
  <c r="AS81" i="1"/>
  <c r="AK81" i="1"/>
  <c r="AF81" i="1"/>
  <c r="W69" i="1"/>
  <c r="W81" i="1"/>
  <c r="W80" i="1"/>
  <c r="W68" i="1"/>
  <c r="AX80" i="1"/>
  <c r="AS80" i="1"/>
  <c r="AP80" i="1"/>
  <c r="AW68" i="1"/>
  <c r="AS68" i="1"/>
  <c r="AP68" i="1"/>
  <c r="AX68" i="1"/>
  <c r="AW80" i="1"/>
  <c r="AP79" i="1"/>
  <c r="W79" i="1"/>
  <c r="W67" i="1"/>
  <c r="AP67" i="1"/>
  <c r="AO67" i="1"/>
  <c r="AO79" i="1"/>
  <c r="W66" i="1"/>
  <c r="W78" i="1"/>
  <c r="AS66" i="1"/>
  <c r="AO78" i="1"/>
  <c r="AP78" i="1"/>
  <c r="AO66" i="1"/>
  <c r="AS78" i="1"/>
  <c r="AP66" i="1"/>
  <c r="W65" i="1"/>
  <c r="W77" i="1"/>
  <c r="W64" i="1"/>
  <c r="Y64" i="1"/>
  <c r="AB76" i="1"/>
  <c r="AB64" i="1"/>
  <c r="AC64" i="1"/>
  <c r="W76" i="1"/>
  <c r="X68" i="1"/>
  <c r="W63" i="1"/>
  <c r="X63" i="1"/>
  <c r="X65" i="1"/>
  <c r="X64" i="1"/>
  <c r="W62" i="1"/>
  <c r="X62" i="1"/>
  <c r="S145" i="1"/>
  <c r="X72" i="1"/>
  <c r="AF70" i="1"/>
  <c r="AO68" i="1"/>
  <c r="W30" i="1"/>
  <c r="W31" i="1"/>
  <c r="I18" i="1"/>
  <c r="BM65" i="1"/>
  <c r="X37" i="1"/>
  <c r="X38" i="1" s="1"/>
  <c r="AP75" i="1"/>
  <c r="AG75" i="1"/>
  <c r="C14" i="1"/>
  <c r="BM62" i="1"/>
  <c r="X84" i="1"/>
  <c r="X83" i="1"/>
  <c r="X71" i="1"/>
  <c r="BA83" i="1"/>
  <c r="AS83" i="1"/>
  <c r="AK83" i="1"/>
  <c r="AB83" i="1"/>
  <c r="BF71" i="1"/>
  <c r="BA71" i="1"/>
  <c r="AS71" i="1"/>
  <c r="AK71" i="1"/>
  <c r="BF83" i="1"/>
  <c r="BE83" i="1"/>
  <c r="AO83" i="1"/>
  <c r="AF83" i="1"/>
  <c r="BE71" i="1"/>
  <c r="AO71" i="1"/>
  <c r="BB83" i="1"/>
  <c r="BB71" i="1"/>
  <c r="X70" i="1"/>
  <c r="X82" i="1"/>
  <c r="AF82" i="1"/>
  <c r="AB82" i="1"/>
  <c r="X80" i="1"/>
  <c r="AK80" i="1"/>
  <c r="AB80" i="1"/>
  <c r="AK68" i="1"/>
  <c r="AF80" i="1"/>
  <c r="AO80" i="1"/>
  <c r="AB68" i="1"/>
  <c r="BM67" i="1"/>
  <c r="BM68" i="1"/>
  <c r="X78" i="1"/>
  <c r="X77" i="1"/>
  <c r="X76" i="1"/>
  <c r="AS75" i="1"/>
  <c r="AS63" i="1"/>
  <c r="X75" i="1"/>
  <c r="W75" i="1"/>
  <c r="AB75" i="1"/>
  <c r="AC75" i="1"/>
  <c r="AB63" i="1"/>
  <c r="AO63" i="1"/>
  <c r="AF63" i="1"/>
  <c r="AP63" i="1"/>
  <c r="AK75" i="1"/>
  <c r="AG63" i="1"/>
  <c r="AK63" i="1"/>
  <c r="AO75" i="1"/>
  <c r="AF75" i="1"/>
  <c r="AL63" i="1"/>
  <c r="AB62" i="1"/>
  <c r="BO66" i="1"/>
  <c r="BN67" i="1"/>
  <c r="AF74" i="1"/>
  <c r="C82" i="1"/>
  <c r="BU210" i="1" s="1"/>
  <c r="Y186" i="1"/>
  <c r="Z186" i="1" s="1"/>
  <c r="BM232" i="1" s="1"/>
  <c r="M179" i="1"/>
  <c r="Y183" i="1"/>
  <c r="AT191" i="1" s="1"/>
  <c r="Y181" i="1"/>
  <c r="Z181" i="1" s="1"/>
  <c r="Y182" i="1"/>
  <c r="Z182" i="1" s="1"/>
  <c r="BM225" i="1" s="1"/>
  <c r="Y184" i="1"/>
  <c r="Z75" i="1"/>
  <c r="BC64" i="1"/>
  <c r="Z76" i="1"/>
  <c r="Y179" i="1"/>
  <c r="Z179" i="1" s="1"/>
  <c r="AQ184" i="1"/>
  <c r="AS184" i="1"/>
  <c r="BJ232" i="1"/>
  <c r="AQ185" i="1"/>
  <c r="S152" i="1"/>
  <c r="AM64" i="1"/>
  <c r="S138" i="1"/>
  <c r="BP62" i="1"/>
  <c r="BP63" i="1"/>
  <c r="AM63" i="1"/>
  <c r="Y180" i="1"/>
  <c r="Y185" i="1"/>
  <c r="Z185" i="1" s="1"/>
  <c r="BM230" i="1" s="1"/>
  <c r="Y178" i="1"/>
  <c r="Y187" i="1"/>
  <c r="Z187" i="1" s="1"/>
  <c r="BM234" i="1" s="1"/>
  <c r="BD73" i="1"/>
  <c r="K132" i="1" s="1"/>
  <c r="Z96" i="1" s="1"/>
  <c r="AY75" i="1"/>
  <c r="BF82" i="1"/>
  <c r="T48" i="1"/>
  <c r="W188" i="1" s="1"/>
  <c r="C181" i="1" s="1"/>
  <c r="BG65" i="1"/>
  <c r="BF80" i="1"/>
  <c r="BP69" i="1"/>
  <c r="AH76" i="1"/>
  <c r="I158" i="1"/>
  <c r="BP71" i="1"/>
  <c r="BE69" i="1"/>
  <c r="Y134" i="1"/>
  <c r="BI234" i="1"/>
  <c r="BJ234" i="1" s="1"/>
  <c r="BP64" i="1"/>
  <c r="BR220" i="1"/>
  <c r="BS220" i="1" s="1"/>
  <c r="BB80" i="1"/>
  <c r="BF70" i="1"/>
  <c r="BP66" i="1"/>
  <c r="BN69" i="1"/>
  <c r="BA76" i="1"/>
  <c r="AW183" i="1"/>
  <c r="AW185" i="1" s="1"/>
  <c r="BN220" i="1"/>
  <c r="BB81" i="1"/>
  <c r="BK69" i="1"/>
  <c r="BG77" i="1"/>
  <c r="BA69" i="1"/>
  <c r="Y137" i="1"/>
  <c r="BN227" i="1"/>
  <c r="BB69" i="1"/>
  <c r="BA75" i="1"/>
  <c r="AU70" i="1"/>
  <c r="AQ82" i="1"/>
  <c r="AQ63" i="1"/>
  <c r="BO63" i="1"/>
  <c r="AD64" i="1"/>
  <c r="AU65" i="1"/>
  <c r="BP68" i="1"/>
  <c r="BC69" i="1"/>
  <c r="BP70" i="1"/>
  <c r="AW70" i="1"/>
  <c r="BN70" i="1"/>
  <c r="AU76" i="1"/>
  <c r="BA81" i="1"/>
  <c r="AX82" i="1"/>
  <c r="AQ70" i="1"/>
  <c r="BG70" i="1"/>
  <c r="AH63" i="1"/>
  <c r="BN63" i="1"/>
  <c r="AQ64" i="1"/>
  <c r="BP65" i="1"/>
  <c r="BK68" i="1"/>
  <c r="BA70" i="1"/>
  <c r="AH75" i="1"/>
  <c r="BC81" i="1"/>
  <c r="L168" i="1"/>
  <c r="BN232" i="1"/>
  <c r="BP67" i="1"/>
  <c r="W32" i="1"/>
  <c r="BA68" i="1"/>
  <c r="BO62" i="1"/>
  <c r="BB63" i="1"/>
  <c r="AY64" i="1"/>
  <c r="BB70" i="1"/>
  <c r="AX75" i="1"/>
  <c r="BE82" i="1"/>
  <c r="F169" i="1"/>
  <c r="BE63" i="1"/>
  <c r="BM63" i="1"/>
  <c r="AX70" i="1"/>
  <c r="BB82" i="1"/>
  <c r="BC63" i="1"/>
  <c r="BA64" i="1"/>
  <c r="BO69" i="1"/>
  <c r="BC70" i="1"/>
  <c r="G169" i="1"/>
  <c r="AF176" i="1"/>
  <c r="BI223" i="1"/>
  <c r="BJ223" i="1" s="1"/>
  <c r="BI230" i="1"/>
  <c r="BJ230" i="1" s="1"/>
  <c r="BR232" i="1"/>
  <c r="BS232" i="1" s="1"/>
  <c r="BB78" i="1"/>
  <c r="AY77" i="1"/>
  <c r="BC78" i="1"/>
  <c r="W74" i="1"/>
  <c r="AY74" i="1"/>
  <c r="AW74" i="1"/>
  <c r="AK74" i="1"/>
  <c r="X74" i="1"/>
  <c r="AU74" i="1"/>
  <c r="BN62" i="1"/>
  <c r="AY62" i="1"/>
  <c r="AX74" i="1"/>
  <c r="AB74" i="1"/>
  <c r="BI68" i="1"/>
  <c r="BC77" i="1"/>
  <c r="BG78" i="1"/>
  <c r="BA78" i="1"/>
  <c r="AU78" i="1"/>
  <c r="BG66" i="1"/>
  <c r="AU66" i="1"/>
  <c r="BF66" i="1"/>
  <c r="BB66" i="1"/>
  <c r="AQ78" i="1"/>
  <c r="BE66" i="1"/>
  <c r="BF78" i="1"/>
  <c r="BC66" i="1"/>
  <c r="AQ66" i="1"/>
  <c r="BE78" i="1"/>
  <c r="AY78" i="1"/>
  <c r="AY66" i="1"/>
  <c r="BA66" i="1"/>
  <c r="BC80" i="1"/>
  <c r="BE80" i="1"/>
  <c r="AQ80" i="1"/>
  <c r="BA80" i="1"/>
  <c r="BK80" i="1"/>
  <c r="AY80" i="1"/>
  <c r="Z80" i="1"/>
  <c r="BJ68" i="1"/>
  <c r="AY68" i="1"/>
  <c r="BG68" i="1"/>
  <c r="AU68" i="1"/>
  <c r="BB68" i="1"/>
  <c r="AU80" i="1"/>
  <c r="BF68" i="1"/>
  <c r="BN68" i="1"/>
  <c r="BJ80" i="1"/>
  <c r="BE68" i="1"/>
  <c r="BI80" i="1"/>
  <c r="BO68" i="1"/>
  <c r="BC68" i="1"/>
  <c r="AQ68" i="1"/>
  <c r="BG80" i="1"/>
  <c r="W35" i="1"/>
  <c r="W34" i="1"/>
  <c r="W33" i="1"/>
  <c r="AU77" i="1"/>
  <c r="BJ65" i="1"/>
  <c r="AY65" i="1"/>
  <c r="BK65" i="1"/>
  <c r="BC65" i="1"/>
  <c r="AQ65" i="1"/>
  <c r="BK77" i="1"/>
  <c r="BJ77" i="1"/>
  <c r="AQ77" i="1"/>
  <c r="BI77" i="1"/>
  <c r="BI65" i="1"/>
  <c r="BN66" i="1"/>
  <c r="BF75" i="1"/>
  <c r="AU75" i="1"/>
  <c r="BG75" i="1"/>
  <c r="BC75" i="1"/>
  <c r="AQ75" i="1"/>
  <c r="BB75" i="1"/>
  <c r="AU63" i="1"/>
  <c r="BC220" i="1"/>
  <c r="BE220" i="1" s="1"/>
  <c r="AW63" i="1"/>
  <c r="BG63" i="1"/>
  <c r="AH64" i="1"/>
  <c r="C157" i="1"/>
  <c r="X79" i="1"/>
  <c r="AM75" i="1"/>
  <c r="BI75" i="1"/>
  <c r="BF81" i="1"/>
  <c r="I159" i="1"/>
  <c r="BR227" i="1"/>
  <c r="BS227" i="1" s="1"/>
  <c r="BR234" i="1"/>
  <c r="BS234" i="1" s="1"/>
  <c r="BE75" i="1"/>
  <c r="AX63" i="1"/>
  <c r="BI63" i="1"/>
  <c r="AW76" i="1"/>
  <c r="BB76" i="1"/>
  <c r="AY76" i="1"/>
  <c r="AM76" i="1"/>
  <c r="AX76" i="1"/>
  <c r="AU64" i="1"/>
  <c r="BN64" i="1"/>
  <c r="BJ69" i="1"/>
  <c r="BJ75" i="1"/>
  <c r="BJ81" i="1"/>
  <c r="I160" i="1"/>
  <c r="AF187" i="1"/>
  <c r="BR223" i="1"/>
  <c r="BS223" i="1" s="1"/>
  <c r="BC227" i="1"/>
  <c r="BE227" i="1" s="1"/>
  <c r="BF63" i="1"/>
  <c r="BN234" i="1"/>
  <c r="BI227" i="1"/>
  <c r="BJ227" i="1" s="1"/>
  <c r="BI225" i="1"/>
  <c r="BJ225" i="1" s="1"/>
  <c r="AF181" i="1"/>
  <c r="AF180" i="1"/>
  <c r="AF179" i="1"/>
  <c r="AF178" i="1"/>
  <c r="AF177" i="1"/>
  <c r="E168" i="1"/>
  <c r="BC223" i="1"/>
  <c r="BE223" i="1" s="1"/>
  <c r="AF184" i="1"/>
  <c r="J168" i="1"/>
  <c r="BC232" i="1"/>
  <c r="BE232" i="1" s="1"/>
  <c r="BN230" i="1"/>
  <c r="BR225" i="1"/>
  <c r="BS225" i="1" s="1"/>
  <c r="BC225" i="1"/>
  <c r="BE225" i="1" s="1"/>
  <c r="BN223" i="1"/>
  <c r="AP211" i="1"/>
  <c r="AF183" i="1"/>
  <c r="F168" i="1"/>
  <c r="AF185" i="1"/>
  <c r="C168" i="1"/>
  <c r="AY63" i="1"/>
  <c r="BJ63" i="1"/>
  <c r="AW64" i="1"/>
  <c r="BO64" i="1"/>
  <c r="BK75" i="1"/>
  <c r="AQ76" i="1"/>
  <c r="AF182" i="1"/>
  <c r="AF186" i="1"/>
  <c r="BI220" i="1"/>
  <c r="BJ220" i="1" s="1"/>
  <c r="BN225" i="1"/>
  <c r="BR230" i="1"/>
  <c r="BS230" i="1" s="1"/>
  <c r="BC234" i="1"/>
  <c r="BE234" i="1" s="1"/>
  <c r="BA63" i="1"/>
  <c r="BK63" i="1"/>
  <c r="AX64" i="1"/>
  <c r="BE81" i="1"/>
  <c r="BK81" i="1"/>
  <c r="AY81" i="1"/>
  <c r="BI81" i="1"/>
  <c r="AW81" i="1"/>
  <c r="BG81" i="1"/>
  <c r="BI69" i="1"/>
  <c r="AW69" i="1"/>
  <c r="BM69" i="1"/>
  <c r="AW75" i="1"/>
  <c r="H168" i="1"/>
  <c r="BC230" i="1"/>
  <c r="BE230" i="1" s="1"/>
  <c r="AY82" i="1"/>
  <c r="BE70" i="1"/>
  <c r="AY70" i="1"/>
  <c r="BO70" i="1"/>
  <c r="AU82" i="1"/>
  <c r="BG82" i="1"/>
  <c r="AW82" i="1"/>
  <c r="BA82" i="1"/>
  <c r="AI85" i="1" l="1"/>
  <c r="AR73" i="1"/>
  <c r="K111" i="1" s="1"/>
  <c r="Z93" i="1" s="1"/>
  <c r="AN73" i="1"/>
  <c r="K104" i="1" s="1"/>
  <c r="Z92" i="1" s="1"/>
  <c r="AI73" i="1"/>
  <c r="K97" i="1" s="1"/>
  <c r="Z91" i="1" s="1"/>
  <c r="AE73" i="1"/>
  <c r="K90" i="1" s="1"/>
  <c r="Z90" i="1" s="1"/>
  <c r="W36" i="1"/>
  <c r="I19" i="1" s="1"/>
  <c r="W29" i="1" s="1"/>
  <c r="BM73" i="1"/>
  <c r="C158" i="1" s="1"/>
  <c r="W85" i="1"/>
  <c r="Y85" i="1"/>
  <c r="BV211" i="1" s="1"/>
  <c r="AP85" i="1"/>
  <c r="BV222" i="1" s="1"/>
  <c r="BC85" i="1"/>
  <c r="BO232" i="1"/>
  <c r="Z183" i="1"/>
  <c r="BM227" i="1" s="1"/>
  <c r="BO227" i="1" s="1"/>
  <c r="Z184" i="1"/>
  <c r="AT192" i="1" s="1"/>
  <c r="AT185" i="1" s="1"/>
  <c r="BM223" i="1" s="1"/>
  <c r="BO223" i="1" s="1"/>
  <c r="Z180" i="1"/>
  <c r="AT190" i="1" s="1"/>
  <c r="AS186" i="1"/>
  <c r="AT189" i="1"/>
  <c r="AS185" i="1"/>
  <c r="Z178" i="1"/>
  <c r="AT188" i="1" s="1"/>
  <c r="BO234" i="1"/>
  <c r="BO230" i="1"/>
  <c r="BO225" i="1"/>
  <c r="AA73" i="1"/>
  <c r="K83" i="1" s="1"/>
  <c r="K82" i="1" s="1"/>
  <c r="BB73" i="1"/>
  <c r="D132" i="1" s="1"/>
  <c r="U133" i="1" s="1"/>
  <c r="AT73" i="1"/>
  <c r="D118" i="1" s="1"/>
  <c r="U119" i="1" s="1"/>
  <c r="AO85" i="1"/>
  <c r="AH73" i="1"/>
  <c r="I97" i="1" s="1"/>
  <c r="Y91" i="1" s="1"/>
  <c r="BE73" i="1"/>
  <c r="C139" i="1" s="1"/>
  <c r="AL73" i="1"/>
  <c r="D104" i="1" s="1"/>
  <c r="U108" i="1" s="1"/>
  <c r="BO73" i="1"/>
  <c r="C161" i="1" s="1"/>
  <c r="AK73" i="1"/>
  <c r="C104" i="1" s="1"/>
  <c r="AQ85" i="1"/>
  <c r="AU73" i="1"/>
  <c r="I118" i="1" s="1"/>
  <c r="Y94" i="1" s="1"/>
  <c r="Y73" i="1"/>
  <c r="D83" i="1" s="1"/>
  <c r="U88" i="1" s="1"/>
  <c r="W88" i="1" s="1"/>
  <c r="AS73" i="1"/>
  <c r="C118" i="1" s="1"/>
  <c r="BE85" i="1"/>
  <c r="BG73" i="1"/>
  <c r="I139" i="1" s="1"/>
  <c r="Y97" i="1" s="1"/>
  <c r="BA73" i="1"/>
  <c r="C132" i="1" s="1"/>
  <c r="BA85" i="1"/>
  <c r="AC85" i="1"/>
  <c r="BV213" i="1" s="1"/>
  <c r="AH85" i="1"/>
  <c r="AF85" i="1"/>
  <c r="BU216" i="1" s="1"/>
  <c r="AT85" i="1"/>
  <c r="BV224" i="1" s="1"/>
  <c r="AS85" i="1"/>
  <c r="Y104" i="1"/>
  <c r="Z104" i="1"/>
  <c r="AG85" i="1"/>
  <c r="BV216" i="1" s="1"/>
  <c r="BK85" i="1"/>
  <c r="AW73" i="1"/>
  <c r="C125" i="1" s="1"/>
  <c r="AD73" i="1"/>
  <c r="I90" i="1" s="1"/>
  <c r="Y90" i="1" s="1"/>
  <c r="X85" i="1"/>
  <c r="BU211" i="1" s="1"/>
  <c r="AQ211" i="1" s="1"/>
  <c r="BJ85" i="1"/>
  <c r="BV233" i="1" s="1"/>
  <c r="BI85" i="1"/>
  <c r="BG85" i="1"/>
  <c r="AB73" i="1"/>
  <c r="C90" i="1" s="1"/>
  <c r="AO73" i="1"/>
  <c r="C111" i="1" s="1"/>
  <c r="X73" i="1"/>
  <c r="C83" i="1" s="1"/>
  <c r="AK85" i="1"/>
  <c r="AB85" i="1"/>
  <c r="BU213" i="1" s="1"/>
  <c r="AF73" i="1"/>
  <c r="C97" i="1" s="1"/>
  <c r="AW85" i="1"/>
  <c r="BI73" i="1"/>
  <c r="C146" i="1" s="1"/>
  <c r="AM73" i="1"/>
  <c r="I104" i="1" s="1"/>
  <c r="Y92" i="1" s="1"/>
  <c r="W73" i="1"/>
  <c r="BN73" i="1"/>
  <c r="C159" i="1" s="1"/>
  <c r="AM85" i="1"/>
  <c r="AX85" i="1"/>
  <c r="BV226" i="1" s="1"/>
  <c r="AU85" i="1"/>
  <c r="BJ73" i="1"/>
  <c r="D146" i="1" s="1"/>
  <c r="U150" i="1" s="1"/>
  <c r="AG73" i="1"/>
  <c r="D97" i="1" s="1"/>
  <c r="U102" i="1" s="1"/>
  <c r="Z73" i="1"/>
  <c r="I83" i="1" s="1"/>
  <c r="Y89" i="1" s="1"/>
  <c r="BB85" i="1"/>
  <c r="BV229" i="1" s="1"/>
  <c r="AY73" i="1"/>
  <c r="I125" i="1" s="1"/>
  <c r="Y95" i="1" s="1"/>
  <c r="BC73" i="1"/>
  <c r="I132" i="1" s="1"/>
  <c r="Y96" i="1" s="1"/>
  <c r="AC73" i="1"/>
  <c r="D90" i="1" s="1"/>
  <c r="U92" i="1" s="1"/>
  <c r="AD85" i="1"/>
  <c r="AQ73" i="1"/>
  <c r="I111" i="1" s="1"/>
  <c r="Y93" i="1" s="1"/>
  <c r="Z85" i="1"/>
  <c r="BK73" i="1"/>
  <c r="I146" i="1" s="1"/>
  <c r="Y98" i="1" s="1"/>
  <c r="BF73" i="1"/>
  <c r="D139" i="1" s="1"/>
  <c r="U142" i="1" s="1"/>
  <c r="BF85" i="1"/>
  <c r="BV231" i="1" s="1"/>
  <c r="AX73" i="1"/>
  <c r="D125" i="1" s="1"/>
  <c r="U126" i="1" s="1"/>
  <c r="AP73" i="1"/>
  <c r="D111" i="1" s="1"/>
  <c r="U112" i="1" s="1"/>
  <c r="AL85" i="1"/>
  <c r="BV218" i="1" s="1"/>
  <c r="AY85" i="1"/>
  <c r="V88" i="1" l="1"/>
  <c r="T151" i="1"/>
  <c r="W102" i="1"/>
  <c r="W96" i="1"/>
  <c r="V133" i="1"/>
  <c r="W142" i="1"/>
  <c r="CA231" i="1" s="1"/>
  <c r="N85" i="1"/>
  <c r="M85" i="1"/>
  <c r="AA92" i="1"/>
  <c r="CA211" i="1"/>
  <c r="M92" i="1"/>
  <c r="N92" i="1"/>
  <c r="V102" i="1"/>
  <c r="W119" i="1"/>
  <c r="CA224" i="1" s="1"/>
  <c r="AA90" i="1"/>
  <c r="Z89" i="1"/>
  <c r="AA89" i="1" s="1"/>
  <c r="W41" i="1"/>
  <c r="W42" i="1"/>
  <c r="X92" i="1"/>
  <c r="N106" i="1"/>
  <c r="M106" i="1"/>
  <c r="X93" i="1"/>
  <c r="M113" i="1"/>
  <c r="N113" i="1"/>
  <c r="X97" i="1"/>
  <c r="M141" i="1"/>
  <c r="N141" i="1"/>
  <c r="X95" i="1"/>
  <c r="M127" i="1"/>
  <c r="N127" i="1"/>
  <c r="X90" i="1"/>
  <c r="X89" i="1"/>
  <c r="X91" i="1"/>
  <c r="M99" i="1"/>
  <c r="N99" i="1"/>
  <c r="N120" i="1"/>
  <c r="M120" i="1"/>
  <c r="M122" i="1"/>
  <c r="X98" i="1"/>
  <c r="N148" i="1"/>
  <c r="M148" i="1"/>
  <c r="X96" i="1"/>
  <c r="N134" i="1"/>
  <c r="M134" i="1"/>
  <c r="X94" i="1"/>
  <c r="W108" i="1"/>
  <c r="AT184" i="1"/>
  <c r="BM220" i="1" s="1"/>
  <c r="BO220" i="1" s="1"/>
  <c r="AQ213" i="1"/>
  <c r="BY210" i="1"/>
  <c r="CA210" i="1"/>
  <c r="AS211" i="1"/>
  <c r="AR211" i="1"/>
  <c r="X105" i="1"/>
  <c r="Y105" i="1" s="1"/>
  <c r="Z105" i="1" s="1"/>
  <c r="X104" i="1"/>
  <c r="BU233" i="1"/>
  <c r="V119" i="1"/>
  <c r="BU231" i="1"/>
  <c r="CB231" i="1" s="1"/>
  <c r="BU218" i="1"/>
  <c r="BU224" i="1"/>
  <c r="CB224" i="1" s="1"/>
  <c r="BU229" i="1"/>
  <c r="CB229" i="1" s="1"/>
  <c r="W133" i="1"/>
  <c r="CA229" i="1" s="1"/>
  <c r="V142" i="1"/>
  <c r="V126" i="1"/>
  <c r="W126" i="1"/>
  <c r="CA226" i="1" s="1"/>
  <c r="BU226" i="1"/>
  <c r="W150" i="1"/>
  <c r="CA233" i="1" s="1"/>
  <c r="V150" i="1"/>
  <c r="AQ212" i="1"/>
  <c r="AR212" i="1" s="1"/>
  <c r="CB213" i="1"/>
  <c r="V112" i="1"/>
  <c r="W112" i="1"/>
  <c r="CA222" i="1" s="1"/>
  <c r="BU222" i="1"/>
  <c r="CB211" i="1"/>
  <c r="BY231" i="1" l="1"/>
  <c r="BY224" i="1"/>
  <c r="W97" i="1"/>
  <c r="CA218" i="1"/>
  <c r="CA216" i="1"/>
  <c r="BQ200" i="1"/>
  <c r="W43" i="1"/>
  <c r="I74" i="1" s="1"/>
  <c r="W45" i="1"/>
  <c r="BU205" i="1" s="1"/>
  <c r="T154" i="1"/>
  <c r="T152" i="1"/>
  <c r="AD126" i="1" s="1"/>
  <c r="V108" i="1"/>
  <c r="BY226" i="1"/>
  <c r="CB216" i="1"/>
  <c r="AR213" i="1"/>
  <c r="AS213" i="1"/>
  <c r="BY222" i="1"/>
  <c r="BY218" i="1"/>
  <c r="BY229" i="1"/>
  <c r="BY233" i="1"/>
  <c r="BY211" i="1"/>
  <c r="AQ215" i="1"/>
  <c r="AQ214" i="1"/>
  <c r="AS212" i="1"/>
  <c r="CB233" i="1"/>
  <c r="AQ220" i="1"/>
  <c r="AS220" i="1" s="1"/>
  <c r="AQ219" i="1"/>
  <c r="AS219" i="1" s="1"/>
  <c r="AQ216" i="1"/>
  <c r="AS216" i="1" s="1"/>
  <c r="AQ218" i="1"/>
  <c r="AS218" i="1" s="1"/>
  <c r="CB218" i="1"/>
  <c r="CB222" i="1"/>
  <c r="AT212" i="1"/>
  <c r="AT213" i="1"/>
  <c r="AT211" i="1"/>
  <c r="AQ217" i="1"/>
  <c r="AS217" i="1" s="1"/>
  <c r="CB226" i="1"/>
  <c r="V92" i="1" l="1"/>
  <c r="V151" i="1" s="1"/>
  <c r="X134" i="1" s="1"/>
  <c r="W92" i="1"/>
  <c r="AD132" i="1"/>
  <c r="AE126" i="1"/>
  <c r="AC126" i="1"/>
  <c r="AE131" i="1"/>
  <c r="AE125" i="1"/>
  <c r="AD125" i="1"/>
  <c r="AC131" i="1"/>
  <c r="AD131" i="1"/>
  <c r="AC132" i="1"/>
  <c r="AE132" i="1"/>
  <c r="AC125" i="1"/>
  <c r="BY216" i="1"/>
  <c r="AR215" i="1"/>
  <c r="AS215" i="1"/>
  <c r="AS214" i="1"/>
  <c r="AV214" i="1"/>
  <c r="AT214" i="1"/>
  <c r="AV215" i="1"/>
  <c r="AV218" i="1"/>
  <c r="AR218" i="1"/>
  <c r="AR214" i="1"/>
  <c r="AV217" i="1"/>
  <c r="AR217" i="1"/>
  <c r="AV216" i="1"/>
  <c r="AR216" i="1"/>
  <c r="AV219" i="1"/>
  <c r="AR219" i="1"/>
  <c r="AV220" i="1"/>
  <c r="AR220" i="1"/>
  <c r="AT218" i="1"/>
  <c r="AT216" i="1"/>
  <c r="AT219" i="1"/>
  <c r="AT220" i="1"/>
  <c r="AT215" i="1"/>
  <c r="AT217" i="1"/>
  <c r="CA213" i="1" l="1"/>
  <c r="BY213" i="1"/>
  <c r="AB134" i="1"/>
  <c r="AB136" i="1" s="1"/>
  <c r="AB137" i="1" s="1"/>
  <c r="AB138" i="1" s="1"/>
  <c r="AB139" i="1" s="1"/>
  <c r="AB142" i="1" s="1"/>
  <c r="AB143" i="1" s="1"/>
  <c r="AB144" i="1" s="1"/>
  <c r="AB145" i="1" s="1"/>
  <c r="AB146" i="1" s="1"/>
  <c r="AB150" i="1" s="1"/>
  <c r="AF126" i="1"/>
  <c r="AF131" i="1"/>
  <c r="AF132" i="1"/>
  <c r="AF125" i="1"/>
  <c r="X136" i="1"/>
  <c r="X137" i="1" s="1"/>
  <c r="X138" i="1" s="1"/>
  <c r="X139" i="1" s="1"/>
  <c r="X142" i="1" s="1"/>
  <c r="X143" i="1" s="1"/>
  <c r="X144" i="1" s="1"/>
  <c r="X145" i="1" s="1"/>
  <c r="X146" i="1" s="1"/>
  <c r="X150" i="1" s="1"/>
  <c r="U151" i="1" l="1"/>
  <c r="AF129" i="1"/>
  <c r="AC134" i="1" s="1"/>
  <c r="AF133" i="1"/>
  <c r="AC136" i="1" s="1"/>
  <c r="U152" i="1" l="1"/>
  <c r="U153" i="1" s="1"/>
  <c r="BU236" i="1" l="1"/>
</calcChain>
</file>

<file path=xl/sharedStrings.xml><?xml version="1.0" encoding="utf-8"?>
<sst xmlns="http://schemas.openxmlformats.org/spreadsheetml/2006/main" count="147" uniqueCount="137">
  <si>
    <t>- Velg -</t>
  </si>
  <si>
    <t>Halvharde gulvbelegg, tekstile gulvbelegg og laminatgulv</t>
  </si>
  <si>
    <t>Trekonstruksjoner:</t>
  </si>
  <si>
    <t>Testkrav:</t>
  </si>
  <si>
    <t>2. EN 13999-2:2007 – VOC (flyktige organiske forbindelser)</t>
  </si>
  <si>
    <t>3. EN 13999-3:2007 – Flyktige aldehyder</t>
  </si>
  <si>
    <t>4. EN 13999-4:2007 – Flyktige diisocyanater</t>
  </si>
  <si>
    <t>5. EN 12149:1997</t>
  </si>
  <si>
    <t>Tapet</t>
  </si>
  <si>
    <t>HEA 9</t>
  </si>
  <si>
    <t>Produkt:</t>
  </si>
  <si>
    <t xml:space="preserve">Ferdig utfylt skjema undertegnes av en juridisk ansvarlig person hos produsent, f.eks. teknisk sjef eller daglig leder. </t>
  </si>
  <si>
    <t xml:space="preserve">Det er viktig at opplysningene som oppgis her er korrekte, og det oppfordres til grundighet når man undersøker hvorvidt emisjonstester og/eller testrapporter viser at produktet tilfredsstiller de standardene og emisjonsgrensene som BREEAM-NOR har satt. </t>
  </si>
  <si>
    <r>
      <t xml:space="preserve">Ferdig utfylt skjema undertegnes av en </t>
    </r>
    <r>
      <rPr>
        <i/>
        <sz val="11"/>
        <color theme="1"/>
        <rFont val="Calibri"/>
        <family val="2"/>
        <scheme val="minor"/>
      </rPr>
      <t>juridisk ansvarlig person</t>
    </r>
    <r>
      <rPr>
        <sz val="11"/>
        <color theme="1"/>
        <rFont val="Calibri"/>
        <family val="2"/>
        <scheme val="minor"/>
      </rPr>
      <t xml:space="preserve"> hos produsent, f.eks. teknisk sjef eller daglig leder. Stoffer som skal unngås kan ikke finnes i produktet, verken i fri, i bunden eller i naturlig form. </t>
    </r>
  </si>
  <si>
    <t>Juridisk ansvarlig:</t>
  </si>
  <si>
    <t>Stilling:</t>
  </si>
  <si>
    <t>Dato:</t>
  </si>
  <si>
    <t>Registreringsdato for prosjektet:</t>
  </si>
  <si>
    <t>Note 1</t>
  </si>
  <si>
    <t>Note 2</t>
  </si>
  <si>
    <t>Note 3</t>
  </si>
  <si>
    <t xml:space="preserve">1. EN 717-1:2004 </t>
  </si>
  <si>
    <t>Testkrav:
1. EN 717-1:2004</t>
  </si>
  <si>
    <t>2. EN 13999-2:2007 – VOC (flyktige organiske forbindelser)
3. EN 13999-3:2007 – Flyktige aldehyder</t>
  </si>
  <si>
    <t>4. EN 13999-4:2007 – Flyktige diisocyanater
5. EN 12149:1997</t>
  </si>
  <si>
    <t>Produsent:</t>
  </si>
  <si>
    <t>Handelsnavn:</t>
  </si>
  <si>
    <t>Jeg bekrefter at ovennevnte opplysninger er korrekte og gitt etter beste evne, og er klar over at feilaktige og/eller villedende opplysninger kan få juridiske konsekvenser.</t>
  </si>
  <si>
    <t>e</t>
  </si>
  <si>
    <t>h</t>
  </si>
  <si>
    <t>f</t>
  </si>
  <si>
    <t>j</t>
  </si>
  <si>
    <t>g</t>
  </si>
  <si>
    <t>b</t>
  </si>
  <si>
    <t>Nei</t>
  </si>
  <si>
    <t>Ja</t>
  </si>
  <si>
    <t>a</t>
  </si>
  <si>
    <t>c</t>
  </si>
  <si>
    <t>d</t>
  </si>
  <si>
    <t>i</t>
  </si>
  <si>
    <t>k</t>
  </si>
  <si>
    <t>l</t>
  </si>
  <si>
    <t>mg/m²h</t>
  </si>
  <si>
    <t>mg/m³</t>
  </si>
  <si>
    <t>Kommentarer:</t>
  </si>
  <si>
    <t>A20</t>
  </si>
  <si>
    <t>Type deklarasjon:</t>
  </si>
  <si>
    <t>Tilbake til utfylling</t>
  </si>
  <si>
    <t>Type</t>
  </si>
  <si>
    <t>Handelsnavn</t>
  </si>
  <si>
    <t>VOC-innhold</t>
  </si>
  <si>
    <t>Svanen</t>
  </si>
  <si>
    <t>Signatur juridisk ansvarlig hos produsent:</t>
  </si>
  <si>
    <t>bruker inndelingen over på maling og lakk. Vi ber om at samme inndeling av type (a, b, c,..., l) benyttes i kolonne 2 i tabellen der produktinformasjon deklareres.</t>
  </si>
  <si>
    <t>EUs malingsdirektiv (2004/42/EC) og forskrift om begrensning i bruk av helse- og miljøfarlige kjemikalier og andre produkter (produktforskriften) vedlegg VII</t>
  </si>
  <si>
    <t>til § 2-24 til § 2-26 om organiske forbindelser i maling- og lakkeringsprodukter</t>
  </si>
  <si>
    <t>For faste bygningsprodukter vil godkjent dokumentasjon være ett av følgende:</t>
  </si>
  <si>
    <t>Er produsenten i tvil, bør man benytte egne interne og eksterne konsulenter.</t>
  </si>
  <si>
    <t>k) Flerfargede malinger
l) Effektmaling</t>
  </si>
  <si>
    <t>i) Enkomponent spesialmaling
j) Tokomponent spesialmaling</t>
  </si>
  <si>
    <t>g) Grunning
h) Heftgrunning</t>
  </si>
  <si>
    <t>c) Utendørs maling for mineralske flater
d) Maling for treverk, metall og plast innendørs/utendørs
e) Lakk, lasur og beis for innendørs/utendørs behandling av tre, metall og plast
f) Tynnsjiktet lasur, olje eller beis</t>
  </si>
  <si>
    <t>a) Matt innendørs vegg- og takmaling (glansgrad ≤ 25 @ 60°).
b) Blank innendørs vegg- og takmaling (glansgrad &gt; 25 @ 60°).</t>
  </si>
  <si>
    <t>Under grenseverdien *</t>
  </si>
  <si>
    <t xml:space="preserve"> All interiørmaling og lakk er dessuten også motstandsdyktig mot sopp og alger (før påføring).</t>
  </si>
  <si>
    <t xml:space="preserve">* Interiørmaling og lakk har blitt testet mot EN ISO 11890-2:2006 Malinger og lakk. Bestemmelse av VOC-innhold (flyktige organiske forbindelser). Gasskromatografisk metode og tilfredsstiller de maksimale grenseverdiene for VOC-innhold i fase II som fastsatt i tillegg II til direktiv 2004/42/EC om interiørmaling. </t>
  </si>
  <si>
    <t>g/l</t>
  </si>
  <si>
    <t>Det finnes to stoffer på listen som ikke oppfyller dokumentasjonskravet. Produktet/produktene tilfredsstiller derfor ikke A20-kravene til BREEAM-NOR.</t>
  </si>
  <si>
    <t>Det finnes tre stoffer på listen som ikke oppfyller dokumentasjonskravet. Produktet/produktene tilfredsstiller derfor ikke A20-kravene til BREEAM-NOR.</t>
  </si>
  <si>
    <t>Det finnes fire stoffer på listen som ikke oppfyller dokumentasjonskravet. Produktet/produktene tilfredsstiller derfor ikke A20-kravene til BREEAM-NOR.</t>
  </si>
  <si>
    <t>Det finnes fem stoffer på listen som ikke oppfyller dokumentasjonskravet. Produktet/produktene tilfredsstiller derfor ikke A20-kravene til BREEAM-NOR.</t>
  </si>
  <si>
    <t>Det finnes seks stoffer på listen som ikke oppfyller dokumentasjonskravet. Produktet/produktene tilfredsstiller derfor ikke A20-kravene til BREEAM-NOR.</t>
  </si>
  <si>
    <t>Det finnes syv stoffer på listen som ikke oppfyller dokumentasjonskravet. Produktet/produktene tilfredsstiller derfor ikke A20-kravene til BREEAM-NOR.</t>
  </si>
  <si>
    <t>Det finnes åtte stoffer på listen som ikke oppfyller dokumentasjonskravet. Produktet/produktene tilfredsstiller derfor ikke A20-kravene til BREEAM-NOR.</t>
  </si>
  <si>
    <t>Det finnes ni stoffer på listen som ikke oppfyller dokumentasjonskravet. Produktet/produktene tilfredsstiller derfor ikke A20-kravene til BREEAM-NOR.</t>
  </si>
  <si>
    <t>Det finnes ti stoffer på listen som ikke oppfyller dokumentasjonskravet. Produktet/produktene tilfredsstiller derfor ikke A20-kravene til BREEAM-NOR.</t>
  </si>
  <si>
    <t>²⁾</t>
  </si>
  <si>
    <t xml:space="preserve">Konsentrasjoner under grenseverdien på ≤ 0,1 % godtas. Det er forutsatt at informasjonen i A20-listen er kjent. Bemerk dato på deklarasjonsskjema må samsvare med gjeldende prosessnotat i det angitte tidsrom. </t>
  </si>
  <si>
    <t>&lt; 0,1 %</t>
  </si>
  <si>
    <t>Vannbasert</t>
  </si>
  <si>
    <t>Løsemiddelbasert</t>
  </si>
  <si>
    <t>Trebaserte plater:</t>
  </si>
  <si>
    <t>Egendeklarasjon</t>
  </si>
  <si>
    <t>Teknisk manual 2012</t>
  </si>
  <si>
    <t>Teknisk manual 2016</t>
  </si>
  <si>
    <t>Utgivelse teknisk manual:</t>
  </si>
  <si>
    <t>1 = velg manual, 2 = 2012, 3 = 2016</t>
  </si>
  <si>
    <t>HEA9</t>
  </si>
  <si>
    <t>Egendeklarasjon på at produkter tilfredsstiller krav i BREEAM-NOR versjon 1.0 (14.03.12)</t>
  </si>
  <si>
    <t>Versjon 1:</t>
  </si>
  <si>
    <t>Versjon 2:</t>
  </si>
  <si>
    <t>S7=2;O51=2;O55=2</t>
  </si>
  <si>
    <t>S7=2;O51=2;O55=3</t>
  </si>
  <si>
    <t>Versjon 3:</t>
  </si>
  <si>
    <t>S7=3;O51=2;O55=2</t>
  </si>
  <si>
    <t>HEA 02</t>
  </si>
  <si>
    <t>A20 01.04.2013 til 31.08.2016</t>
  </si>
  <si>
    <t>A20 14.03.2012 til 30.03.2013</t>
  </si>
  <si>
    <t>A20 etter 31.08.2016</t>
  </si>
  <si>
    <t>¹⁾</t>
  </si>
  <si>
    <t>All polykarbonat inneholder Bisfenol A.</t>
  </si>
  <si>
    <t>Fugemasser</t>
  </si>
  <si>
    <t>Gulvprodukter</t>
  </si>
  <si>
    <t>Innendørsmaling og -lakk som anvendes på stedet og defineres som kategori a,b,d,e,g,h,i, j, k eller ifølge vedlegg I til direktiv 2004/42/EF, skal oppfylle korresponderende øvre grenseverdier for VOC-innhold som definert i vedlegg II/A.</t>
  </si>
  <si>
    <t>dager</t>
  </si>
  <si>
    <t>dager eller 40 μg/m3 etter 28</t>
  </si>
  <si>
    <t>- kreftfremkallende – 4 μg/m3</t>
  </si>
  <si>
    <t>HEA9:</t>
  </si>
  <si>
    <t>HEA2:</t>
  </si>
  <si>
    <t>Treplater:</t>
  </si>
  <si>
    <t>Miljømerket Svanen med unntak av tre- eller linoleumsgulv.</t>
  </si>
  <si>
    <t>Nedsenkede himlingsplater</t>
  </si>
  <si>
    <t>–</t>
  </si>
  <si>
    <t>1. EN 717-1:2004
2. EN 13999-2:2007 – VOC (flyktige organiske forbindelser)
3. EN 13999-3:2007 – Flyktige aldehyder
4. EN 13999-4:2007 – Flyktige diisocyanater
5. EN 12149:1997</t>
  </si>
  <si>
    <t>Det finnes én ytelse på listen som ikke oppfyller dokumentasjonskravet. Produktet/produktene tilfredsstiller derfor ikke kravene til BREEAM-NOR.</t>
  </si>
  <si>
    <t>Det finnes tre ytelser på listen som ikke oppfyller dokumentasjonskravet. Produktet/produktene tilfredsstiller derfor ikke kravene til BREEAM-NOR.</t>
  </si>
  <si>
    <t>Det finnes fire ytelser på listen som ikke oppfyller dokumentasjonskravet. Produktet/produktene tilfredsstiller derfor ikke kravene til BREEAM-NOR.</t>
  </si>
  <si>
    <t>Det finnes fem ytelser på listen som ikke oppfyller dokumentasjonskravet. Produktet/produktene tilfredsstiller derfor ikke kravene til BREEAM-NOR.</t>
  </si>
  <si>
    <t>Det finnes seks ytelser på listen som ikke oppfyller dokumentasjonskravet. Produktet/produktene tilfredsstiller derfor ikke kravene til BREEAM-NOR.</t>
  </si>
  <si>
    <t>Det finnes syv ytelser på listen som ikke oppfyller dokumentasjonskravet. Produktet/produktene tilfredsstiller derfor ikke kravene til BREEAM-NOR.</t>
  </si>
  <si>
    <t>Det finnes åtte ytelser på listen som ikke oppfyller dokumentasjonskravet. Produktet/produktene tilfredsstiller derfor ikke kravene til BREEAM-NOR.</t>
  </si>
  <si>
    <t>Det finnes ni ytelser på listen som ikke oppfyller dokumentasjonskravet. Produktet/produktene tilfredsstiller derfor ikke kravene til BREEAM-NOR.</t>
  </si>
  <si>
    <t>Det finnes ti ytelser på listen som ikke oppfyller dokumentasjonskravet. Produktet/produktene tilfredsstiller derfor ikke kravene til BREEAM-NOR.</t>
  </si>
  <si>
    <t>HEA 9/HEA 02</t>
  </si>
  <si>
    <t>Veggkledninger</t>
  </si>
  <si>
    <t>HEA9 uten maling</t>
  </si>
  <si>
    <t>HEA02</t>
  </si>
  <si>
    <t xml:space="preserve">1. Velg Fil/skriv ut/Adobe PDF
2 . Lagre dokumentet som PDF-fil
3. Skriv ut dokumentet og signer
4. Skann dokumentet, og publiser
</t>
  </si>
  <si>
    <t xml:space="preserve"> Karakter 1 – 6 (grønn eller hvit) iht. ECOproduct (Norsk Byggtjeneste), Sintef Byggforsk Teknisk Godkjenning utarbeidet etter 1. januar 2010, Miljømerket Svanen eller EU-blomsten. For kjemiske produkter kan man også sjekke opp mot sikkerhetsdatabladet (SDS) for produktet.</t>
  </si>
  <si>
    <t>Versjon 3.1
Tilrettelagt av</t>
  </si>
  <si>
    <t>S62;</t>
  </si>
  <si>
    <t>S65;S66;67;S68</t>
  </si>
  <si>
    <t>Stor</t>
  </si>
  <si>
    <t>Liten</t>
  </si>
  <si>
    <t>Resten av S</t>
  </si>
  <si>
    <t xml:space="preserve">S62 </t>
  </si>
  <si>
    <t>S69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</si>
</sst>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8">
    <font>
      <sz val="11"/>
      <color theme="1"/>
      <name val="Calibri"/>
      <family val="2"/>
      <scheme val="minor"/>
    </font>
    <font>
      <b/>
      <sz val="11"/>
      <color theme="1"/>
      <name val="Calibri"/>
      <family val="2"/>
      <scheme val="minor"/>
    </font>
    <font>
      <vertAlign val="superscript"/>
      <sz val="8"/>
      <color theme="1"/>
      <name val="Arial"/>
      <family val="2"/>
    </font>
    <font>
      <u/>
      <sz val="11"/>
      <color theme="10"/>
      <name val="Calibri"/>
      <family val="2"/>
      <scheme val="minor"/>
    </font>
    <font>
      <sz val="11"/>
      <color theme="1"/>
      <name val="Calibri"/>
      <family val="2"/>
    </font>
    <font>
      <i/>
      <sz val="11"/>
      <color theme="1"/>
      <name val="Calibri"/>
      <family val="2"/>
      <scheme val="minor"/>
    </font>
    <font>
      <b/>
      <sz val="14"/>
      <color theme="1"/>
      <name val="Calibri"/>
      <family val="2"/>
      <scheme val="minor"/>
    </font>
    <font>
      <sz val="10"/>
      <color theme="1"/>
      <name val="Calibri"/>
      <family val="2"/>
      <scheme val="minor"/>
    </font>
    <font>
      <vertAlign val="superscript"/>
      <sz val="11"/>
      <color theme="1"/>
      <name val="Calibri"/>
      <family val="2"/>
    </font>
    <font>
      <b/>
      <sz val="12"/>
      <color theme="1"/>
      <name val="Calibri"/>
      <family val="2"/>
      <scheme val="minor"/>
    </font>
    <font>
      <b/>
      <sz val="16"/>
      <color theme="1"/>
      <name val="Calibri"/>
      <family val="2"/>
      <scheme val="minor"/>
    </font>
    <font>
      <sz val="8"/>
      <color theme="1"/>
      <name val="Calibri"/>
      <family val="2"/>
      <scheme val="minor"/>
    </font>
    <font>
      <b/>
      <sz val="10"/>
      <color theme="1"/>
      <name val="Calibri"/>
      <family val="2"/>
      <scheme val="minor"/>
    </font>
    <font>
      <sz val="11"/>
      <color rgb="FF004C99"/>
      <name val="Helvetica Neue"/>
      <charset val="1"/>
    </font>
    <font>
      <i/>
      <sz val="9"/>
      <color theme="1"/>
      <name val="Calibri"/>
      <family val="2"/>
      <scheme val="minor"/>
    </font>
    <font>
      <i/>
      <sz val="8"/>
      <color theme="9" tint="-0.499984740745262"/>
      <name val="Calibri"/>
      <family val="2"/>
      <scheme val="minor"/>
    </font>
    <font>
      <sz val="11"/>
      <color rgb="FF333333"/>
      <name val="Helvetica Neue"/>
      <charset val="1"/>
    </font>
    <font>
      <i/>
      <sz val="11"/>
      <color rgb="FF333333"/>
      <name val="Helvetica Neue"/>
      <charset val="1"/>
    </font>
    <font>
      <sz val="11"/>
      <color theme="0"/>
      <name val="Calibri"/>
      <family val="2"/>
      <scheme val="minor"/>
    </font>
    <font>
      <sz val="10"/>
      <name val="Arial"/>
      <family val="2"/>
    </font>
    <font>
      <b/>
      <sz val="11"/>
      <color theme="0"/>
      <name val="Calibri"/>
      <family val="2"/>
      <scheme val="minor"/>
    </font>
    <font>
      <sz val="11"/>
      <color theme="1"/>
      <name val="Arial"/>
      <family val="2"/>
    </font>
    <font>
      <b/>
      <u/>
      <sz val="14"/>
      <color theme="0"/>
      <name val="Calibri"/>
      <family val="2"/>
      <scheme val="minor"/>
    </font>
    <font>
      <i/>
      <sz val="12"/>
      <color theme="1"/>
      <name val="Calibri"/>
      <family val="2"/>
      <scheme val="minor"/>
    </font>
    <font>
      <b/>
      <i/>
      <sz val="8"/>
      <color theme="0"/>
      <name val="Calibri"/>
      <family val="2"/>
      <scheme val="minor"/>
    </font>
    <font>
      <b/>
      <i/>
      <sz val="11"/>
      <color theme="0"/>
      <name val="Calibri"/>
      <family val="2"/>
      <scheme val="minor"/>
    </font>
    <font>
      <u/>
      <sz val="11"/>
      <color theme="1"/>
      <name val="Calibri"/>
      <family val="2"/>
      <scheme val="minor"/>
    </font>
    <font>
      <b/>
      <sz val="12"/>
      <color theme="0"/>
      <name val="Calibri"/>
      <family val="2"/>
      <scheme val="minor"/>
    </font>
    <font>
      <i/>
      <sz val="12"/>
      <color theme="0"/>
      <name val="Calibri"/>
      <family val="2"/>
      <scheme val="minor"/>
    </font>
    <font>
      <sz val="12"/>
      <color theme="0"/>
      <name val="Calibri"/>
      <family val="2"/>
      <scheme val="minor"/>
    </font>
    <font>
      <u/>
      <sz val="11"/>
      <color theme="0"/>
      <name val="Calibri"/>
      <family val="2"/>
      <scheme val="minor"/>
    </font>
    <font>
      <b/>
      <i/>
      <sz val="12"/>
      <color theme="0"/>
      <name val="Calibri"/>
      <family val="2"/>
      <scheme val="minor"/>
    </font>
    <font>
      <b/>
      <i/>
      <sz val="10"/>
      <color theme="0"/>
      <name val="Calibri"/>
      <family val="2"/>
      <scheme val="minor"/>
    </font>
    <font>
      <b/>
      <i/>
      <sz val="9"/>
      <color theme="0"/>
      <name val="Calibri"/>
      <family val="2"/>
      <scheme val="minor"/>
    </font>
    <font>
      <i/>
      <sz val="12"/>
      <color rgb="FF9CC4C0"/>
      <name val="Calibri"/>
      <family val="2"/>
      <scheme val="minor"/>
    </font>
    <font>
      <vertAlign val="superscript"/>
      <sz val="11"/>
      <color theme="1"/>
      <name val="Calibri"/>
      <family val="2"/>
      <scheme val="minor"/>
    </font>
    <font>
      <sz val="12"/>
      <color theme="1"/>
      <name val="Calibri"/>
      <family val="2"/>
      <scheme val="minor"/>
    </font>
    <font>
      <sz val="11"/>
      <name val="Calibri"/>
      <family val="2"/>
      <scheme val="minor"/>
    </font>
  </fonts>
  <fills count="13">
    <fill>
      <patternFill patternType="none"/>
    </fill>
    <fill>
      <patternFill patternType="gray125"/>
    </fill>
    <fill>
      <patternFill patternType="solid">
        <fgColor rgb="FFFFFF00"/>
        <bgColor indexed="64"/>
      </patternFill>
    </fill>
    <fill>
      <patternFill patternType="solid">
        <fgColor theme="0"/>
        <bgColor indexed="64"/>
      </patternFill>
    </fill>
    <fill>
      <patternFill patternType="solid">
        <fgColor rgb="FFD0EBB3"/>
        <bgColor indexed="64"/>
      </patternFill>
    </fill>
    <fill>
      <patternFill patternType="solid">
        <fgColor rgb="FFE9F5DB"/>
        <bgColor indexed="64"/>
      </patternFill>
    </fill>
    <fill>
      <patternFill patternType="solid">
        <fgColor rgb="FF92D050"/>
        <bgColor indexed="64"/>
      </patternFill>
    </fill>
    <fill>
      <patternFill patternType="solid">
        <fgColor rgb="FF3D6864"/>
        <bgColor indexed="64"/>
      </patternFill>
    </fill>
    <fill>
      <patternFill patternType="solid">
        <fgColor rgb="FFDBFFFF"/>
        <bgColor indexed="64"/>
      </patternFill>
    </fill>
    <fill>
      <patternFill patternType="solid">
        <fgColor theme="0" tint="-4.9989318521683403E-2"/>
        <bgColor indexed="64"/>
      </patternFill>
    </fill>
    <fill>
      <patternFill patternType="solid">
        <fgColor rgb="FF15FFFF"/>
        <bgColor indexed="64"/>
      </patternFill>
    </fill>
    <fill>
      <patternFill patternType="solid">
        <fgColor rgb="FFE6F0F0"/>
        <bgColor indexed="64"/>
      </patternFill>
    </fill>
    <fill>
      <patternFill patternType="solid">
        <fgColor rgb="FFE6F028"/>
        <bgColor indexed="64"/>
      </patternFill>
    </fill>
  </fills>
  <borders count="28">
    <border>
      <left/>
      <right/>
      <top/>
      <bottom/>
      <diagonal/>
    </border>
    <border>
      <left/>
      <right/>
      <top/>
      <bottom style="thin">
        <color indexed="64"/>
      </bottom>
      <diagonal/>
    </border>
    <border>
      <left/>
      <right/>
      <top style="thin">
        <color indexed="64"/>
      </top>
      <bottom/>
      <diagonal/>
    </border>
    <border>
      <left/>
      <right style="thin">
        <color theme="0" tint="-0.499984740745262"/>
      </right>
      <top/>
      <bottom/>
      <diagonal/>
    </border>
    <border>
      <left/>
      <right style="medium">
        <color rgb="FF9CC4C0"/>
      </right>
      <top/>
      <bottom/>
      <diagonal/>
    </border>
    <border>
      <left/>
      <right/>
      <top/>
      <bottom style="medium">
        <color rgb="FF9CC4C0"/>
      </bottom>
      <diagonal/>
    </border>
    <border>
      <left/>
      <right style="medium">
        <color rgb="FF9CC4C0"/>
      </right>
      <top/>
      <bottom style="medium">
        <color rgb="FF9CC4C0"/>
      </bottom>
      <diagonal/>
    </border>
    <border>
      <left style="medium">
        <color rgb="FF27413F"/>
      </left>
      <right/>
      <top style="medium">
        <color rgb="FF27413F"/>
      </top>
      <bottom/>
      <diagonal/>
    </border>
    <border>
      <left/>
      <right/>
      <top style="medium">
        <color rgb="FF27413F"/>
      </top>
      <bottom/>
      <diagonal/>
    </border>
    <border>
      <left/>
      <right style="medium">
        <color rgb="FF9CC4C0"/>
      </right>
      <top style="medium">
        <color rgb="FF27413F"/>
      </top>
      <bottom/>
      <diagonal/>
    </border>
    <border>
      <left style="medium">
        <color rgb="FF27413F"/>
      </left>
      <right/>
      <top/>
      <bottom/>
      <diagonal/>
    </border>
    <border>
      <left style="medium">
        <color rgb="FF27413F"/>
      </left>
      <right/>
      <top/>
      <bottom style="medium">
        <color rgb="FF9CC4C0"/>
      </bottom>
      <diagonal/>
    </border>
    <border>
      <left style="medium">
        <color indexed="64"/>
      </left>
      <right style="medium">
        <color indexed="64"/>
      </right>
      <top style="medium">
        <color indexed="64"/>
      </top>
      <bottom style="medium">
        <color indexed="64"/>
      </bottom>
      <diagonal/>
    </border>
    <border>
      <left style="medium">
        <color rgb="FF27413F"/>
      </left>
      <right/>
      <top style="medium">
        <color rgb="FF27413F"/>
      </top>
      <bottom style="medium">
        <color rgb="FF9CC4C0"/>
      </bottom>
      <diagonal/>
    </border>
    <border>
      <left/>
      <right/>
      <top style="medium">
        <color rgb="FF27413F"/>
      </top>
      <bottom style="medium">
        <color rgb="FF9CC4C0"/>
      </bottom>
      <diagonal/>
    </border>
    <border>
      <left/>
      <right style="medium">
        <color rgb="FF9CC4C0"/>
      </right>
      <top style="medium">
        <color rgb="FF27413F"/>
      </top>
      <bottom style="medium">
        <color rgb="FF9CC4C0"/>
      </bottom>
      <diagonal/>
    </border>
    <border>
      <left style="thin">
        <color rgb="FF27413F"/>
      </left>
      <right/>
      <top style="thin">
        <color rgb="FF27413F"/>
      </top>
      <bottom/>
      <diagonal/>
    </border>
    <border>
      <left/>
      <right/>
      <top style="thin">
        <color rgb="FF27413F"/>
      </top>
      <bottom/>
      <diagonal/>
    </border>
    <border>
      <left/>
      <right style="thin">
        <color rgb="FF9CC4C0"/>
      </right>
      <top style="thin">
        <color rgb="FF27413F"/>
      </top>
      <bottom/>
      <diagonal/>
    </border>
    <border>
      <left style="thin">
        <color rgb="FF27413F"/>
      </left>
      <right/>
      <top/>
      <bottom/>
      <diagonal/>
    </border>
    <border>
      <left/>
      <right style="thin">
        <color rgb="FF9CC4C0"/>
      </right>
      <top/>
      <bottom/>
      <diagonal/>
    </border>
    <border>
      <left style="thin">
        <color rgb="FF27413F"/>
      </left>
      <right/>
      <top/>
      <bottom style="thin">
        <color rgb="FF9CC4C0"/>
      </bottom>
      <diagonal/>
    </border>
    <border>
      <left/>
      <right/>
      <top/>
      <bottom style="thin">
        <color rgb="FF9CC4C0"/>
      </bottom>
      <diagonal/>
    </border>
    <border>
      <left/>
      <right style="thin">
        <color rgb="FF9CC4C0"/>
      </right>
      <top/>
      <bottom style="thin">
        <color rgb="FF9CC4C0"/>
      </bottom>
      <diagonal/>
    </border>
    <border>
      <left/>
      <right style="thin">
        <color rgb="FF27413F"/>
      </right>
      <top/>
      <bottom/>
      <diagonal/>
    </border>
    <border>
      <left style="thin">
        <color auto="1"/>
      </left>
      <right style="thin">
        <color auto="1"/>
      </right>
      <top style="thin">
        <color auto="1"/>
      </top>
      <bottom style="thin">
        <color auto="1"/>
      </bottom>
      <diagonal/>
    </border>
    <border>
      <left/>
      <right/>
      <top style="medium">
        <color rgb="FF9CC4C0"/>
      </top>
      <bottom/>
      <diagonal/>
    </border>
    <border>
      <left style="thin">
        <color rgb="FF9CC4C0"/>
      </left>
      <right/>
      <top/>
      <bottom/>
      <diagonal/>
    </border>
  </borders>
  <cellStyleXfs count="3">
    <xf numFmtId="0" fontId="0" fillId="0" borderId="0"/>
    <xf numFmtId="0" fontId="3" fillId="0" borderId="0" applyNumberFormat="0" applyFill="0" applyBorder="0" applyAlignment="0" applyProtection="0"/>
    <xf numFmtId="0" fontId="19" fillId="0" borderId="0"/>
  </cellStyleXfs>
  <cellXfs count="244">
    <xf numFmtId="0" fontId="0" fillId="0" borderId="0" xfId="0"/>
    <xf numFmtId="0" fontId="0" fillId="0" borderId="0" xfId="0" applyFill="1"/>
    <xf numFmtId="0" fontId="0" fillId="0" borderId="0" xfId="0" applyProtection="1">
      <protection locked="0"/>
    </xf>
    <xf numFmtId="0" fontId="0" fillId="0" borderId="0" xfId="0" applyFill="1" applyProtection="1">
      <protection locked="0"/>
    </xf>
    <xf numFmtId="0" fontId="0" fillId="0" borderId="0" xfId="0" applyFill="1" applyBorder="1" applyProtection="1">
      <protection locked="0"/>
    </xf>
    <xf numFmtId="0" fontId="0" fillId="0" borderId="0" xfId="0" applyFill="1" applyAlignment="1" applyProtection="1">
      <alignment vertical="top" wrapText="1"/>
      <protection locked="0"/>
    </xf>
    <xf numFmtId="14" fontId="0" fillId="0" borderId="0" xfId="0" applyNumberFormat="1" applyFill="1" applyProtection="1">
      <protection locked="0"/>
    </xf>
    <xf numFmtId="0" fontId="0" fillId="0" borderId="0" xfId="0" quotePrefix="1" applyFill="1" applyBorder="1" applyProtection="1">
      <protection locked="0"/>
    </xf>
    <xf numFmtId="0" fontId="0" fillId="0" borderId="0" xfId="0" applyFill="1" applyAlignment="1" applyProtection="1">
      <protection locked="0"/>
    </xf>
    <xf numFmtId="0" fontId="0" fillId="0" borderId="0" xfId="0" applyFill="1" applyAlignment="1" applyProtection="1">
      <alignment vertical="center" wrapText="1"/>
      <protection locked="0"/>
    </xf>
    <xf numFmtId="0" fontId="0" fillId="0" borderId="0" xfId="0" applyFill="1" applyBorder="1" applyAlignment="1" applyProtection="1">
      <protection locked="0"/>
    </xf>
    <xf numFmtId="0" fontId="0" fillId="0" borderId="0" xfId="0" applyFill="1" applyAlignment="1" applyProtection="1">
      <alignment wrapText="1"/>
      <protection locked="0"/>
    </xf>
    <xf numFmtId="0" fontId="0" fillId="2" borderId="0" xfId="0" applyFill="1" applyProtection="1">
      <protection locked="0"/>
    </xf>
    <xf numFmtId="0" fontId="0" fillId="0" borderId="0" xfId="0" quotePrefix="1" applyProtection="1">
      <protection locked="0"/>
    </xf>
    <xf numFmtId="0" fontId="0" fillId="4" borderId="0" xfId="0" applyFill="1" applyProtection="1">
      <protection hidden="1"/>
    </xf>
    <xf numFmtId="0" fontId="0" fillId="0" borderId="0" xfId="0" applyProtection="1">
      <protection hidden="1"/>
    </xf>
    <xf numFmtId="0" fontId="0" fillId="3" borderId="1" xfId="0" applyFill="1" applyBorder="1" applyProtection="1">
      <protection hidden="1"/>
    </xf>
    <xf numFmtId="0" fontId="4" fillId="3" borderId="0" xfId="0" applyFont="1" applyFill="1" applyBorder="1" applyAlignment="1" applyProtection="1">
      <alignment vertical="center"/>
      <protection hidden="1"/>
    </xf>
    <xf numFmtId="0" fontId="7" fillId="3" borderId="0" xfId="0" applyFont="1" applyFill="1" applyBorder="1" applyAlignment="1" applyProtection="1">
      <alignment vertical="center" wrapText="1"/>
      <protection hidden="1"/>
    </xf>
    <xf numFmtId="0" fontId="0" fillId="3" borderId="0" xfId="0" applyFill="1" applyBorder="1" applyProtection="1">
      <protection hidden="1"/>
    </xf>
    <xf numFmtId="0" fontId="0" fillId="0" borderId="0" xfId="0" applyFill="1" applyProtection="1">
      <protection locked="0" hidden="1"/>
    </xf>
    <xf numFmtId="0" fontId="8" fillId="0" borderId="0" xfId="0" applyFont="1" applyFill="1" applyProtection="1">
      <protection locked="0"/>
    </xf>
    <xf numFmtId="0" fontId="4" fillId="0" borderId="0" xfId="0" applyFont="1" applyFill="1" applyAlignment="1" applyProtection="1">
      <alignment vertical="center" wrapText="1"/>
      <protection locked="0"/>
    </xf>
    <xf numFmtId="0" fontId="2" fillId="0" borderId="0" xfId="0" applyFont="1" applyFill="1" applyAlignment="1" applyProtection="1">
      <alignment vertical="center"/>
      <protection locked="0"/>
    </xf>
    <xf numFmtId="0" fontId="0" fillId="0" borderId="0" xfId="0" applyFill="1" applyAlignment="1" applyProtection="1">
      <alignment vertical="top"/>
      <protection locked="0"/>
    </xf>
    <xf numFmtId="0" fontId="5" fillId="0" borderId="0" xfId="0" applyFont="1" applyFill="1" applyAlignment="1" applyProtection="1">
      <alignment vertical="center"/>
      <protection locked="0" hidden="1"/>
    </xf>
    <xf numFmtId="0" fontId="0" fillId="0" borderId="0" xfId="0" applyFill="1" applyAlignment="1" applyProtection="1">
      <alignment wrapText="1"/>
      <protection locked="0" hidden="1"/>
    </xf>
    <xf numFmtId="0" fontId="0" fillId="0" borderId="0" xfId="0" applyFill="1" applyAlignment="1" applyProtection="1">
      <alignment vertical="top" wrapText="1"/>
      <protection locked="0" hidden="1"/>
    </xf>
    <xf numFmtId="0" fontId="0" fillId="2" borderId="0" xfId="0" applyFill="1" applyBorder="1" applyProtection="1">
      <protection locked="0"/>
    </xf>
    <xf numFmtId="0" fontId="0" fillId="6" borderId="0" xfId="0" applyFill="1" applyAlignment="1" applyProtection="1">
      <protection locked="0"/>
    </xf>
    <xf numFmtId="0" fontId="0" fillId="6" borderId="0" xfId="0" applyFill="1" applyProtection="1">
      <protection locked="0"/>
    </xf>
    <xf numFmtId="0" fontId="0" fillId="6" borderId="0" xfId="0" applyFill="1" applyBorder="1" applyProtection="1">
      <protection locked="0"/>
    </xf>
    <xf numFmtId="0" fontId="16" fillId="0" borderId="0" xfId="0" applyFont="1" applyFill="1" applyAlignment="1">
      <alignment horizontal="right" vertical="top"/>
    </xf>
    <xf numFmtId="0" fontId="17" fillId="0" borderId="0" xfId="0" applyFont="1" applyFill="1" applyAlignment="1">
      <alignment horizontal="left" vertical="top"/>
    </xf>
    <xf numFmtId="0" fontId="0" fillId="6" borderId="0" xfId="0" applyFill="1" applyAlignment="1" applyProtection="1">
      <alignment wrapText="1"/>
      <protection locked="0"/>
    </xf>
    <xf numFmtId="0" fontId="0" fillId="0" borderId="0" xfId="0" applyFill="1" applyProtection="1">
      <protection hidden="1"/>
    </xf>
    <xf numFmtId="0" fontId="5" fillId="0" borderId="0" xfId="0" applyFont="1" applyFill="1" applyBorder="1" applyAlignment="1" applyProtection="1">
      <alignment wrapText="1"/>
      <protection hidden="1"/>
    </xf>
    <xf numFmtId="0" fontId="0" fillId="0" borderId="0" xfId="0" applyFill="1" applyAlignment="1" applyProtection="1">
      <alignment vertical="center" wrapText="1"/>
      <protection hidden="1"/>
    </xf>
    <xf numFmtId="0" fontId="0" fillId="0" borderId="0" xfId="0" quotePrefix="1" applyFill="1" applyProtection="1">
      <protection locked="0"/>
    </xf>
    <xf numFmtId="0" fontId="19" fillId="7" borderId="0" xfId="2" applyFill="1" applyBorder="1" applyProtection="1">
      <protection locked="0" hidden="1"/>
    </xf>
    <xf numFmtId="20" fontId="0" fillId="0" borderId="0" xfId="0" applyNumberFormat="1" applyFill="1" applyProtection="1">
      <protection locked="0"/>
    </xf>
    <xf numFmtId="0" fontId="0" fillId="5" borderId="0" xfId="0" applyFill="1" applyProtection="1">
      <protection locked="0"/>
    </xf>
    <xf numFmtId="0" fontId="0" fillId="8" borderId="0" xfId="0" applyFill="1" applyProtection="1">
      <protection locked="0"/>
    </xf>
    <xf numFmtId="0" fontId="0" fillId="0" borderId="0" xfId="0" applyFill="1" applyBorder="1" applyProtection="1">
      <protection hidden="1"/>
    </xf>
    <xf numFmtId="0" fontId="0" fillId="7" borderId="0" xfId="0" applyFill="1" applyProtection="1">
      <protection hidden="1"/>
    </xf>
    <xf numFmtId="0" fontId="0" fillId="7" borderId="0" xfId="0" applyFill="1" applyBorder="1" applyProtection="1">
      <protection hidden="1"/>
    </xf>
    <xf numFmtId="0" fontId="0" fillId="7" borderId="0" xfId="0" applyFont="1" applyFill="1" applyBorder="1" applyProtection="1">
      <protection hidden="1"/>
    </xf>
    <xf numFmtId="0" fontId="18" fillId="7" borderId="0" xfId="0" applyFont="1" applyFill="1" applyProtection="1">
      <protection hidden="1"/>
    </xf>
    <xf numFmtId="0" fontId="18" fillId="7" borderId="0" xfId="0" applyFont="1" applyFill="1" applyBorder="1" applyProtection="1">
      <protection hidden="1"/>
    </xf>
    <xf numFmtId="0" fontId="22" fillId="7" borderId="0" xfId="0" applyFont="1" applyFill="1" applyBorder="1" applyAlignment="1" applyProtection="1">
      <alignment horizontal="left" indent="1"/>
      <protection hidden="1"/>
    </xf>
    <xf numFmtId="0" fontId="1" fillId="7" borderId="0" xfId="0" applyFont="1" applyFill="1" applyProtection="1">
      <protection hidden="1"/>
    </xf>
    <xf numFmtId="0" fontId="20" fillId="7" borderId="0" xfId="0" applyFont="1" applyFill="1" applyProtection="1">
      <protection hidden="1"/>
    </xf>
    <xf numFmtId="0" fontId="0" fillId="9" borderId="0" xfId="0" applyFill="1" applyProtection="1">
      <protection hidden="1"/>
    </xf>
    <xf numFmtId="0" fontId="15" fillId="7" borderId="0" xfId="0" applyFont="1" applyFill="1" applyAlignment="1" applyProtection="1">
      <alignment vertical="center"/>
      <protection hidden="1"/>
    </xf>
    <xf numFmtId="0" fontId="0" fillId="7" borderId="0" xfId="0" applyFont="1" applyFill="1" applyAlignment="1" applyProtection="1">
      <alignment horizontal="left" vertical="center"/>
      <protection hidden="1"/>
    </xf>
    <xf numFmtId="0" fontId="0" fillId="7" borderId="0" xfId="0" applyFill="1" applyBorder="1" applyAlignment="1" applyProtection="1">
      <alignment horizontal="left" vertical="top" wrapText="1"/>
      <protection hidden="1"/>
    </xf>
    <xf numFmtId="0" fontId="0" fillId="7" borderId="0" xfId="0" applyFont="1" applyFill="1" applyBorder="1" applyAlignment="1" applyProtection="1">
      <alignment vertical="center" wrapText="1"/>
      <protection locked="0" hidden="1"/>
    </xf>
    <xf numFmtId="0" fontId="23" fillId="7" borderId="0" xfId="0" applyFont="1" applyFill="1" applyBorder="1" applyAlignment="1" applyProtection="1">
      <alignment vertical="center" wrapText="1"/>
      <protection hidden="1"/>
    </xf>
    <xf numFmtId="0" fontId="18" fillId="7" borderId="0" xfId="0" applyFont="1" applyFill="1" applyBorder="1" applyAlignment="1" applyProtection="1">
      <alignment vertical="center" wrapText="1"/>
      <protection locked="0" hidden="1"/>
    </xf>
    <xf numFmtId="0" fontId="26" fillId="0" borderId="0" xfId="0" applyFont="1" applyFill="1" applyProtection="1">
      <protection locked="0"/>
    </xf>
    <xf numFmtId="0" fontId="0" fillId="10" borderId="0" xfId="0" applyFill="1" applyProtection="1">
      <protection locked="0"/>
    </xf>
    <xf numFmtId="0" fontId="0" fillId="0" borderId="0" xfId="0" applyFill="1" applyBorder="1" applyAlignment="1" applyProtection="1">
      <alignment wrapText="1"/>
      <protection locked="0"/>
    </xf>
    <xf numFmtId="0" fontId="0" fillId="0" borderId="0" xfId="0" applyFill="1" applyAlignment="1" applyProtection="1">
      <alignment horizontal="left" vertical="top" wrapText="1"/>
      <protection hidden="1"/>
    </xf>
    <xf numFmtId="0" fontId="0" fillId="0" borderId="0" xfId="0" applyFill="1" applyBorder="1" applyAlignment="1" applyProtection="1">
      <alignment horizontal="left" vertical="top" wrapText="1"/>
      <protection hidden="1"/>
    </xf>
    <xf numFmtId="0" fontId="0" fillId="0" borderId="0" xfId="0" applyFill="1" applyAlignment="1" applyProtection="1">
      <alignment horizontal="center" wrapText="1"/>
      <protection hidden="1"/>
    </xf>
    <xf numFmtId="0" fontId="3" fillId="0" borderId="0" xfId="1" applyFill="1" applyProtection="1">
      <protection hidden="1"/>
    </xf>
    <xf numFmtId="0" fontId="0" fillId="0" borderId="0" xfId="0" applyFill="1" applyBorder="1" applyAlignment="1" applyProtection="1">
      <alignment horizontal="center" wrapText="1"/>
      <protection hidden="1"/>
    </xf>
    <xf numFmtId="0" fontId="0" fillId="10" borderId="12" xfId="0" applyFill="1" applyBorder="1" applyProtection="1">
      <protection locked="0"/>
    </xf>
    <xf numFmtId="0" fontId="20" fillId="7" borderId="0" xfId="0" applyFont="1" applyFill="1" applyAlignment="1" applyProtection="1">
      <alignment horizontal="left" indent="2"/>
      <protection hidden="1"/>
    </xf>
    <xf numFmtId="0" fontId="27" fillId="7" borderId="0" xfId="0" applyFont="1" applyFill="1" applyBorder="1" applyAlignment="1" applyProtection="1">
      <alignment vertical="center" wrapText="1"/>
      <protection hidden="1"/>
    </xf>
    <xf numFmtId="0" fontId="27" fillId="7" borderId="0" xfId="0" applyFont="1" applyFill="1" applyBorder="1" applyAlignment="1" applyProtection="1">
      <alignment horizontal="right" vertical="center" wrapText="1" indent="3"/>
      <protection hidden="1"/>
    </xf>
    <xf numFmtId="0" fontId="27" fillId="7" borderId="0" xfId="0" applyFont="1" applyFill="1" applyBorder="1" applyAlignment="1" applyProtection="1">
      <alignment horizontal="right" vertical="center" wrapText="1" indent="4"/>
      <protection hidden="1"/>
    </xf>
    <xf numFmtId="0" fontId="29" fillId="7" borderId="0" xfId="0" applyFont="1" applyFill="1" applyBorder="1" applyAlignment="1" applyProtection="1">
      <alignment horizontal="left" vertical="center" indent="2"/>
      <protection hidden="1"/>
    </xf>
    <xf numFmtId="0" fontId="0" fillId="4" borderId="0" xfId="0" applyFont="1" applyFill="1" applyBorder="1" applyAlignment="1" applyProtection="1">
      <alignment horizontal="center" vertical="center" wrapText="1"/>
      <protection locked="0" hidden="1"/>
    </xf>
    <xf numFmtId="0" fontId="0" fillId="4" borderId="0" xfId="0" applyFont="1" applyFill="1" applyBorder="1" applyAlignment="1" applyProtection="1">
      <alignment horizontal="left" vertical="center" wrapText="1" indent="1"/>
      <protection locked="0" hidden="1"/>
    </xf>
    <xf numFmtId="0" fontId="7" fillId="3" borderId="0" xfId="0" applyFont="1" applyFill="1" applyBorder="1" applyAlignment="1" applyProtection="1">
      <alignment horizontal="left" vertical="top" wrapText="1"/>
      <protection hidden="1"/>
    </xf>
    <xf numFmtId="0" fontId="0" fillId="7" borderId="0" xfId="0" applyFill="1" applyBorder="1" applyAlignment="1" applyProtection="1">
      <alignment horizontal="center" wrapText="1"/>
      <protection hidden="1"/>
    </xf>
    <xf numFmtId="0" fontId="0" fillId="7" borderId="0" xfId="0" applyFill="1" applyAlignment="1" applyProtection="1">
      <alignment horizontal="center" wrapText="1"/>
      <protection hidden="1"/>
    </xf>
    <xf numFmtId="0" fontId="7" fillId="7" borderId="0" xfId="0" applyFont="1" applyFill="1" applyAlignment="1" applyProtection="1">
      <alignment horizontal="left" vertical="center" wrapText="1" indent="1"/>
      <protection hidden="1"/>
    </xf>
    <xf numFmtId="0" fontId="7" fillId="7" borderId="0" xfId="0" applyFont="1" applyFill="1" applyAlignment="1" applyProtection="1">
      <protection hidden="1"/>
    </xf>
    <xf numFmtId="0" fontId="7" fillId="7" borderId="0" xfId="0" applyFont="1" applyFill="1" applyAlignment="1" applyProtection="1">
      <alignment vertical="center" wrapText="1"/>
      <protection hidden="1"/>
    </xf>
    <xf numFmtId="0" fontId="7" fillId="7" borderId="0" xfId="0" applyFont="1" applyFill="1" applyAlignment="1" applyProtection="1">
      <alignment vertical="center"/>
      <protection hidden="1"/>
    </xf>
    <xf numFmtId="0" fontId="0" fillId="7" borderId="0" xfId="0" applyFill="1" applyAlignment="1" applyProtection="1">
      <alignment horizontal="left" vertical="top" wrapText="1" indent="1"/>
      <protection hidden="1"/>
    </xf>
    <xf numFmtId="0" fontId="0" fillId="7" borderId="0" xfId="0" applyFill="1" applyAlignment="1" applyProtection="1">
      <alignment horizontal="left" indent="1"/>
      <protection hidden="1"/>
    </xf>
    <xf numFmtId="0" fontId="0" fillId="7" borderId="0" xfId="0" applyFill="1" applyAlignment="1" applyProtection="1">
      <alignment horizontal="left" wrapText="1" indent="1"/>
      <protection hidden="1"/>
    </xf>
    <xf numFmtId="0" fontId="0" fillId="7" borderId="0" xfId="0" applyFill="1" applyBorder="1" applyAlignment="1" applyProtection="1">
      <alignment horizontal="left" vertical="top" wrapText="1" indent="1"/>
      <protection hidden="1"/>
    </xf>
    <xf numFmtId="0" fontId="20" fillId="7" borderId="0" xfId="0" applyFont="1" applyFill="1" applyBorder="1" applyAlignment="1" applyProtection="1">
      <alignment horizontal="left" vertical="top"/>
      <protection hidden="1"/>
    </xf>
    <xf numFmtId="0" fontId="3" fillId="7" borderId="0" xfId="1" applyFill="1" applyProtection="1">
      <protection hidden="1"/>
    </xf>
    <xf numFmtId="0" fontId="0" fillId="7" borderId="0" xfId="0" applyFill="1" applyAlignment="1" applyProtection="1">
      <alignment vertical="top" wrapText="1"/>
      <protection hidden="1"/>
    </xf>
    <xf numFmtId="0" fontId="1" fillId="7" borderId="0" xfId="0" applyFont="1" applyFill="1" applyAlignment="1" applyProtection="1">
      <alignment vertical="top" wrapText="1"/>
      <protection hidden="1"/>
    </xf>
    <xf numFmtId="0" fontId="1" fillId="7" borderId="0" xfId="0" applyFont="1" applyFill="1" applyAlignment="1" applyProtection="1">
      <alignment horizontal="left" vertical="top" indent="1"/>
      <protection hidden="1"/>
    </xf>
    <xf numFmtId="0" fontId="0" fillId="7" borderId="0" xfId="0" applyFont="1" applyFill="1" applyBorder="1" applyAlignment="1" applyProtection="1">
      <alignment horizontal="center" vertical="center" wrapText="1"/>
      <protection locked="0" hidden="1"/>
    </xf>
    <xf numFmtId="0" fontId="0" fillId="7" borderId="0" xfId="0" applyFont="1" applyFill="1" applyBorder="1" applyAlignment="1" applyProtection="1">
      <alignment vertical="center" wrapText="1"/>
      <protection hidden="1"/>
    </xf>
    <xf numFmtId="0" fontId="0" fillId="7" borderId="0" xfId="0" applyFont="1" applyFill="1" applyBorder="1" applyAlignment="1" applyProtection="1">
      <alignment horizontal="center" vertical="center" wrapText="1"/>
      <protection hidden="1"/>
    </xf>
    <xf numFmtId="0" fontId="1" fillId="7" borderId="0" xfId="0" applyFont="1" applyFill="1" applyBorder="1" applyAlignment="1" applyProtection="1">
      <alignment vertical="top" wrapText="1"/>
      <protection hidden="1"/>
    </xf>
    <xf numFmtId="0" fontId="23" fillId="0" borderId="0" xfId="0" applyFont="1" applyFill="1" applyBorder="1" applyAlignment="1" applyProtection="1">
      <alignment vertical="center" wrapText="1"/>
      <protection hidden="1"/>
    </xf>
    <xf numFmtId="0" fontId="1" fillId="7" borderId="0" xfId="0" applyFont="1" applyFill="1" applyAlignment="1" applyProtection="1">
      <alignment horizontal="center" vertical="top" wrapText="1"/>
      <protection hidden="1"/>
    </xf>
    <xf numFmtId="0" fontId="0" fillId="7" borderId="3" xfId="0" applyFill="1" applyBorder="1" applyProtection="1">
      <protection hidden="1"/>
    </xf>
    <xf numFmtId="0" fontId="30" fillId="7" borderId="0" xfId="1" applyFont="1" applyFill="1" applyProtection="1">
      <protection hidden="1"/>
    </xf>
    <xf numFmtId="0" fontId="0" fillId="0" borderId="25" xfId="0" applyFill="1" applyBorder="1" applyProtection="1">
      <protection locked="0"/>
    </xf>
    <xf numFmtId="0" fontId="0" fillId="12" borderId="0" xfId="0" applyFill="1" applyBorder="1" applyAlignment="1" applyProtection="1">
      <protection locked="0"/>
    </xf>
    <xf numFmtId="0" fontId="0" fillId="3" borderId="2" xfId="0" applyFill="1" applyBorder="1" applyProtection="1">
      <protection hidden="1"/>
    </xf>
    <xf numFmtId="0" fontId="7" fillId="3" borderId="0" xfId="0" applyFont="1" applyFill="1" applyBorder="1" applyProtection="1">
      <protection hidden="1"/>
    </xf>
    <xf numFmtId="0" fontId="7" fillId="3" borderId="0" xfId="0" applyFont="1" applyFill="1" applyBorder="1" applyAlignment="1" applyProtection="1">
      <alignment horizontal="left" vertical="center" wrapText="1"/>
      <protection hidden="1"/>
    </xf>
    <xf numFmtId="14" fontId="7" fillId="3" borderId="0" xfId="0" applyNumberFormat="1" applyFont="1" applyFill="1" applyBorder="1" applyAlignment="1" applyProtection="1">
      <alignment horizontal="left" vertical="top"/>
      <protection hidden="1"/>
    </xf>
    <xf numFmtId="0" fontId="0" fillId="0" borderId="0" xfId="0" applyBorder="1" applyProtection="1">
      <protection hidden="1"/>
    </xf>
    <xf numFmtId="0" fontId="0" fillId="7" borderId="0" xfId="0" applyFill="1" applyProtection="1">
      <protection locked="0" hidden="1"/>
    </xf>
    <xf numFmtId="0" fontId="0" fillId="3" borderId="0" xfId="0" applyFill="1" applyBorder="1" applyAlignment="1" applyProtection="1">
      <alignment horizontal="right" vertical="top"/>
      <protection hidden="1"/>
    </xf>
    <xf numFmtId="0" fontId="10" fillId="3" borderId="0" xfId="0" applyFont="1" applyFill="1" applyBorder="1" applyAlignment="1" applyProtection="1">
      <alignment vertical="center" wrapText="1"/>
      <protection hidden="1"/>
    </xf>
    <xf numFmtId="0" fontId="0" fillId="3" borderId="0" xfId="0" applyFont="1" applyFill="1" applyBorder="1" applyAlignment="1" applyProtection="1">
      <alignment vertical="top"/>
      <protection hidden="1"/>
    </xf>
    <xf numFmtId="0" fontId="9" fillId="3" borderId="0" xfId="0" applyFont="1" applyFill="1" applyBorder="1" applyAlignment="1" applyProtection="1">
      <alignment vertical="top" wrapText="1"/>
      <protection hidden="1"/>
    </xf>
    <xf numFmtId="0" fontId="0" fillId="11" borderId="0" xfId="0" applyFill="1" applyProtection="1">
      <protection locked="0"/>
    </xf>
    <xf numFmtId="0" fontId="0" fillId="0" borderId="1" xfId="0" applyBorder="1" applyProtection="1">
      <protection hidden="1"/>
    </xf>
    <xf numFmtId="0" fontId="18" fillId="0" borderId="0" xfId="0" applyFont="1" applyFill="1" applyAlignment="1" applyProtection="1">
      <alignment vertical="top"/>
      <protection hidden="1"/>
    </xf>
    <xf numFmtId="0" fontId="25" fillId="0" borderId="0" xfId="0" applyFont="1" applyFill="1" applyAlignment="1" applyProtection="1">
      <alignment vertical="top" wrapText="1"/>
      <protection hidden="1"/>
    </xf>
    <xf numFmtId="0" fontId="20" fillId="0" borderId="0" xfId="0" applyFont="1" applyFill="1" applyProtection="1">
      <protection hidden="1"/>
    </xf>
    <xf numFmtId="0" fontId="0" fillId="0" borderId="0" xfId="0" applyFont="1" applyFill="1" applyProtection="1">
      <protection hidden="1"/>
    </xf>
    <xf numFmtId="0" fontId="0" fillId="0" borderId="0" xfId="0" applyFont="1" applyFill="1" applyBorder="1" applyAlignment="1" applyProtection="1">
      <alignment vertical="center" wrapText="1"/>
      <protection locked="0" hidden="1"/>
    </xf>
    <xf numFmtId="0" fontId="18" fillId="0" borderId="0" xfId="0" applyFont="1" applyFill="1" applyBorder="1" applyAlignment="1" applyProtection="1">
      <alignment vertical="center" wrapText="1"/>
      <protection locked="0" hidden="1"/>
    </xf>
    <xf numFmtId="0" fontId="30" fillId="7" borderId="0" xfId="1" quotePrefix="1" applyFont="1" applyFill="1" applyBorder="1" applyAlignment="1" applyProtection="1">
      <alignment horizontal="left" vertical="center" wrapText="1" indent="1"/>
      <protection locked="0" hidden="1"/>
    </xf>
    <xf numFmtId="0" fontId="21" fillId="0" borderId="0" xfId="0" applyFont="1" applyFill="1"/>
    <xf numFmtId="0" fontId="5" fillId="0" borderId="0" xfId="0" applyFont="1" applyFill="1" applyProtection="1">
      <protection hidden="1"/>
    </xf>
    <xf numFmtId="0" fontId="0" fillId="0" borderId="0" xfId="0" applyFill="1" applyBorder="1" applyAlignment="1" applyProtection="1">
      <alignment vertical="center" wrapText="1"/>
      <protection hidden="1"/>
    </xf>
    <xf numFmtId="0" fontId="25" fillId="7" borderId="0" xfId="0" applyFont="1" applyFill="1" applyBorder="1" applyAlignment="1" applyProtection="1">
      <alignment vertical="center" wrapText="1"/>
      <protection locked="0" hidden="1"/>
    </xf>
    <xf numFmtId="0" fontId="18" fillId="7" borderId="0" xfId="0" applyFont="1" applyFill="1" applyBorder="1" applyAlignment="1" applyProtection="1">
      <alignment vertical="top" wrapText="1"/>
      <protection locked="0" hidden="1"/>
    </xf>
    <xf numFmtId="0" fontId="18" fillId="0" borderId="0" xfId="0" applyFont="1" applyFill="1" applyBorder="1" applyAlignment="1" applyProtection="1">
      <alignment vertical="top" wrapText="1"/>
      <protection locked="0" hidden="1"/>
    </xf>
    <xf numFmtId="0" fontId="24" fillId="7" borderId="26" xfId="0" applyFont="1" applyFill="1" applyBorder="1" applyAlignment="1" applyProtection="1">
      <alignment vertical="top" wrapText="1"/>
      <protection hidden="1"/>
    </xf>
    <xf numFmtId="0" fontId="33" fillId="7" borderId="0" xfId="0" applyFont="1" applyFill="1" applyBorder="1" applyAlignment="1" applyProtection="1">
      <alignment vertical="top"/>
      <protection hidden="1"/>
    </xf>
    <xf numFmtId="0" fontId="25" fillId="0" borderId="0" xfId="0" applyFont="1" applyFill="1" applyBorder="1" applyAlignment="1" applyProtection="1">
      <alignment vertical="center" wrapText="1"/>
      <protection locked="0" hidden="1"/>
    </xf>
    <xf numFmtId="0" fontId="33" fillId="0" borderId="0" xfId="0" applyFont="1" applyFill="1" applyBorder="1" applyAlignment="1" applyProtection="1">
      <alignment vertical="top"/>
      <protection hidden="1"/>
    </xf>
    <xf numFmtId="0" fontId="18" fillId="0" borderId="0" xfId="0" applyFont="1" applyProtection="1">
      <protection locked="0"/>
    </xf>
    <xf numFmtId="0" fontId="30" fillId="7" borderId="0" xfId="1" applyFont="1" applyFill="1" applyBorder="1" applyAlignment="1" applyProtection="1">
      <alignment vertical="center"/>
      <protection hidden="1"/>
    </xf>
    <xf numFmtId="0" fontId="30" fillId="7" borderId="0" xfId="1" applyFont="1" applyFill="1" applyBorder="1" applyAlignment="1" applyProtection="1">
      <alignment vertical="center" wrapText="1"/>
      <protection hidden="1"/>
    </xf>
    <xf numFmtId="0" fontId="28" fillId="7" borderId="0" xfId="0" applyFont="1" applyFill="1" applyBorder="1" applyAlignment="1" applyProtection="1">
      <alignment vertical="center" wrapText="1"/>
      <protection hidden="1"/>
    </xf>
    <xf numFmtId="0" fontId="6" fillId="3" borderId="1" xfId="0" applyFont="1" applyFill="1" applyBorder="1" applyAlignment="1" applyProtection="1">
      <alignment horizontal="left" indent="1"/>
      <protection hidden="1"/>
    </xf>
    <xf numFmtId="0" fontId="1" fillId="3" borderId="0" xfId="0" applyFont="1" applyFill="1" applyBorder="1" applyAlignment="1" applyProtection="1">
      <alignment horizontal="left" indent="1"/>
      <protection hidden="1"/>
    </xf>
    <xf numFmtId="0" fontId="13" fillId="0" borderId="0" xfId="0" applyFont="1" applyBorder="1" applyProtection="1">
      <protection hidden="1"/>
    </xf>
    <xf numFmtId="0" fontId="7" fillId="3" borderId="0" xfId="0" applyFont="1" applyFill="1" applyBorder="1" applyAlignment="1" applyProtection="1">
      <alignment horizontal="left" indent="1"/>
      <protection hidden="1"/>
    </xf>
    <xf numFmtId="0" fontId="34" fillId="7" borderId="0" xfId="0" applyFont="1" applyFill="1" applyBorder="1" applyAlignment="1" applyProtection="1">
      <alignment horizontal="left" vertical="center" wrapText="1" indent="1"/>
      <protection hidden="1"/>
    </xf>
    <xf numFmtId="0" fontId="12" fillId="3" borderId="1" xfId="0" applyFont="1" applyFill="1" applyBorder="1" applyAlignment="1" applyProtection="1">
      <alignment horizontal="left" vertical="center" wrapText="1" indent="1"/>
      <protection hidden="1"/>
    </xf>
    <xf numFmtId="0" fontId="12" fillId="3" borderId="1" xfId="0" applyFont="1" applyFill="1" applyBorder="1" applyAlignment="1" applyProtection="1">
      <alignment horizontal="left" vertical="center" indent="1"/>
      <protection hidden="1"/>
    </xf>
    <xf numFmtId="0" fontId="12" fillId="3" borderId="1" xfId="0" applyFont="1" applyFill="1" applyBorder="1" applyAlignment="1" applyProtection="1">
      <alignment vertical="center"/>
      <protection hidden="1"/>
    </xf>
    <xf numFmtId="0" fontId="35" fillId="0" borderId="0" xfId="0" applyFont="1" applyFill="1" applyProtection="1">
      <protection locked="0"/>
    </xf>
    <xf numFmtId="0" fontId="0" fillId="0" borderId="0" xfId="0" applyFont="1" applyFill="1" applyProtection="1">
      <protection locked="0"/>
    </xf>
    <xf numFmtId="0" fontId="36" fillId="0" borderId="0" xfId="0" applyFont="1" applyFill="1" applyBorder="1" applyAlignment="1" applyProtection="1">
      <alignment vertical="center" wrapText="1"/>
      <protection hidden="1"/>
    </xf>
    <xf numFmtId="0" fontId="23" fillId="0" borderId="0" xfId="0" applyFont="1" applyFill="1" applyBorder="1" applyAlignment="1" applyProtection="1">
      <alignment vertical="center"/>
      <protection hidden="1"/>
    </xf>
    <xf numFmtId="0" fontId="36" fillId="0" borderId="0" xfId="0" applyFont="1" applyFill="1" applyBorder="1" applyAlignment="1" applyProtection="1">
      <alignment vertical="center"/>
      <protection hidden="1"/>
    </xf>
    <xf numFmtId="0" fontId="0" fillId="0" borderId="0" xfId="0" applyFont="1" applyFill="1" applyBorder="1" applyAlignment="1" applyProtection="1">
      <alignment horizontal="left" vertical="top" wrapText="1"/>
      <protection hidden="1"/>
    </xf>
    <xf numFmtId="0" fontId="0" fillId="0" borderId="0" xfId="0" applyFont="1" applyFill="1" applyBorder="1" applyAlignment="1" applyProtection="1">
      <alignment vertical="center" wrapText="1"/>
      <protection hidden="1"/>
    </xf>
    <xf numFmtId="0" fontId="20" fillId="0" borderId="0" xfId="0" applyFont="1" applyFill="1" applyAlignment="1" applyProtection="1">
      <alignment vertical="top" wrapText="1"/>
      <protection hidden="1"/>
    </xf>
    <xf numFmtId="0" fontId="0" fillId="12" borderId="0" xfId="0" applyFill="1" applyProtection="1">
      <protection locked="0"/>
    </xf>
    <xf numFmtId="0" fontId="0" fillId="4" borderId="0" xfId="0" applyFill="1" applyProtection="1">
      <protection locked="0"/>
    </xf>
    <xf numFmtId="0" fontId="0" fillId="12" borderId="0" xfId="0" quotePrefix="1" applyFill="1" applyBorder="1" applyProtection="1">
      <protection locked="0"/>
    </xf>
    <xf numFmtId="0" fontId="0" fillId="12" borderId="0" xfId="0" applyFill="1" applyBorder="1" applyProtection="1">
      <protection locked="0"/>
    </xf>
    <xf numFmtId="0" fontId="37" fillId="0" borderId="0" xfId="0" applyFont="1" applyFill="1" applyBorder="1" applyAlignment="1" applyProtection="1">
      <alignment vertical="center"/>
      <protection locked="0" hidden="1"/>
    </xf>
    <xf numFmtId="14" fontId="7" fillId="0" borderId="0" xfId="0" applyNumberFormat="1" applyFont="1" applyBorder="1" applyProtection="1">
      <protection hidden="1"/>
    </xf>
    <xf numFmtId="0" fontId="11" fillId="3" borderId="0" xfId="0" applyFont="1" applyFill="1" applyBorder="1" applyAlignment="1" applyProtection="1">
      <alignment horizontal="left" vertical="center" wrapText="1" indent="1"/>
      <protection hidden="1"/>
    </xf>
    <xf numFmtId="0" fontId="11" fillId="3" borderId="0" xfId="0" applyFont="1" applyFill="1" applyBorder="1" applyAlignment="1" applyProtection="1">
      <alignment horizontal="center" vertical="center" wrapText="1"/>
      <protection hidden="1"/>
    </xf>
    <xf numFmtId="0" fontId="0" fillId="3" borderId="13" xfId="0" applyFill="1" applyBorder="1" applyAlignment="1" applyProtection="1">
      <alignment horizontal="left" vertical="center" indent="1"/>
      <protection locked="0"/>
    </xf>
    <xf numFmtId="0" fontId="0" fillId="3" borderId="14" xfId="0" applyFill="1" applyBorder="1" applyAlignment="1" applyProtection="1">
      <alignment horizontal="left" vertical="center" indent="1"/>
      <protection locked="0"/>
    </xf>
    <xf numFmtId="0" fontId="0" fillId="3" borderId="15" xfId="0" applyFill="1" applyBorder="1" applyAlignment="1" applyProtection="1">
      <alignment horizontal="left" vertical="center" indent="1"/>
      <protection locked="0"/>
    </xf>
    <xf numFmtId="0" fontId="0" fillId="7" borderId="17" xfId="0" applyFill="1" applyBorder="1" applyAlignment="1" applyProtection="1">
      <alignment horizontal="left" vertical="center" wrapText="1" indent="1"/>
      <protection hidden="1"/>
    </xf>
    <xf numFmtId="0" fontId="0" fillId="7" borderId="18" xfId="0" applyFill="1" applyBorder="1" applyAlignment="1" applyProtection="1">
      <alignment horizontal="left" vertical="center" wrapText="1" indent="1"/>
      <protection hidden="1"/>
    </xf>
    <xf numFmtId="0" fontId="0" fillId="7" borderId="0" xfId="0" applyFill="1" applyBorder="1" applyAlignment="1" applyProtection="1">
      <alignment horizontal="left" vertical="center" wrapText="1" indent="1"/>
      <protection hidden="1"/>
    </xf>
    <xf numFmtId="0" fontId="0" fillId="7" borderId="20" xfId="0" applyFill="1" applyBorder="1" applyAlignment="1" applyProtection="1">
      <alignment horizontal="left" vertical="center" wrapText="1" indent="1"/>
      <protection hidden="1"/>
    </xf>
    <xf numFmtId="0" fontId="0" fillId="7" borderId="22" xfId="0" applyFill="1" applyBorder="1" applyAlignment="1" applyProtection="1">
      <alignment horizontal="left" vertical="center" wrapText="1" indent="1"/>
      <protection hidden="1"/>
    </xf>
    <xf numFmtId="0" fontId="0" fillId="7" borderId="23" xfId="0" applyFill="1" applyBorder="1" applyAlignment="1" applyProtection="1">
      <alignment horizontal="left" vertical="center" wrapText="1" indent="1"/>
      <protection hidden="1"/>
    </xf>
    <xf numFmtId="0" fontId="0" fillId="7" borderId="16" xfId="0" applyFill="1" applyBorder="1" applyAlignment="1" applyProtection="1">
      <alignment horizontal="center" vertical="center" wrapText="1"/>
      <protection hidden="1"/>
    </xf>
    <xf numFmtId="0" fontId="0" fillId="7" borderId="19" xfId="0" applyFill="1" applyBorder="1" applyAlignment="1" applyProtection="1">
      <alignment horizontal="center" vertical="center" wrapText="1"/>
      <protection hidden="1"/>
    </xf>
    <xf numFmtId="0" fontId="0" fillId="7" borderId="21" xfId="0" applyFill="1" applyBorder="1" applyAlignment="1" applyProtection="1">
      <alignment horizontal="center" vertical="center" wrapText="1"/>
      <protection hidden="1"/>
    </xf>
    <xf numFmtId="0" fontId="0" fillId="4" borderId="0" xfId="0" applyFont="1" applyFill="1" applyBorder="1" applyAlignment="1" applyProtection="1">
      <alignment horizontal="left" vertical="center" wrapText="1" indent="1"/>
      <protection locked="0" hidden="1"/>
    </xf>
    <xf numFmtId="0" fontId="7" fillId="7" borderId="0" xfId="0" applyFont="1" applyFill="1" applyAlignment="1" applyProtection="1">
      <alignment horizontal="left" wrapText="1" indent="1"/>
      <protection hidden="1"/>
    </xf>
    <xf numFmtId="0" fontId="7" fillId="7" borderId="0" xfId="0" applyFont="1" applyFill="1" applyAlignment="1" applyProtection="1">
      <alignment horizontal="left" vertical="center" wrapText="1" indent="1"/>
      <protection hidden="1"/>
    </xf>
    <xf numFmtId="0" fontId="0" fillId="7" borderId="16" xfId="0" applyFill="1" applyBorder="1" applyAlignment="1" applyProtection="1">
      <alignment horizontal="left" vertical="top" wrapText="1" indent="1"/>
      <protection locked="0" hidden="1"/>
    </xf>
    <xf numFmtId="0" fontId="0" fillId="7" borderId="17" xfId="0" applyFill="1" applyBorder="1" applyAlignment="1" applyProtection="1">
      <alignment horizontal="left" vertical="top" wrapText="1" indent="1"/>
      <protection locked="0" hidden="1"/>
    </xf>
    <xf numFmtId="0" fontId="0" fillId="7" borderId="18" xfId="0" applyFill="1" applyBorder="1" applyAlignment="1" applyProtection="1">
      <alignment horizontal="left" vertical="top" wrapText="1" indent="1"/>
      <protection locked="0" hidden="1"/>
    </xf>
    <xf numFmtId="0" fontId="0" fillId="7" borderId="19" xfId="0" applyFill="1" applyBorder="1" applyAlignment="1" applyProtection="1">
      <alignment horizontal="left" vertical="top" wrapText="1" indent="1"/>
      <protection locked="0" hidden="1"/>
    </xf>
    <xf numFmtId="0" fontId="0" fillId="7" borderId="0" xfId="0" applyFill="1" applyBorder="1" applyAlignment="1" applyProtection="1">
      <alignment horizontal="left" vertical="top" wrapText="1" indent="1"/>
      <protection locked="0" hidden="1"/>
    </xf>
    <xf numFmtId="0" fontId="0" fillId="7" borderId="20" xfId="0" applyFill="1" applyBorder="1" applyAlignment="1" applyProtection="1">
      <alignment horizontal="left" vertical="top" wrapText="1" indent="1"/>
      <protection locked="0" hidden="1"/>
    </xf>
    <xf numFmtId="0" fontId="0" fillId="7" borderId="21" xfId="0" applyFill="1" applyBorder="1" applyAlignment="1" applyProtection="1">
      <alignment horizontal="left" vertical="top" wrapText="1" indent="1"/>
      <protection locked="0" hidden="1"/>
    </xf>
    <xf numFmtId="0" fontId="0" fillId="7" borderId="22" xfId="0" applyFill="1" applyBorder="1" applyAlignment="1" applyProtection="1">
      <alignment horizontal="left" vertical="top" wrapText="1" indent="1"/>
      <protection locked="0" hidden="1"/>
    </xf>
    <xf numFmtId="0" fontId="0" fillId="7" borderId="23" xfId="0" applyFill="1" applyBorder="1" applyAlignment="1" applyProtection="1">
      <alignment horizontal="left" vertical="top" wrapText="1" indent="1"/>
      <protection locked="0" hidden="1"/>
    </xf>
    <xf numFmtId="0" fontId="0" fillId="7" borderId="16" xfId="0" applyFill="1" applyBorder="1" applyAlignment="1" applyProtection="1">
      <alignment horizontal="left" vertical="center" wrapText="1" indent="1"/>
      <protection hidden="1"/>
    </xf>
    <xf numFmtId="0" fontId="0" fillId="7" borderId="19" xfId="0" applyFill="1" applyBorder="1" applyAlignment="1" applyProtection="1">
      <alignment horizontal="left" vertical="center" wrapText="1" indent="1"/>
      <protection hidden="1"/>
    </xf>
    <xf numFmtId="0" fontId="0" fillId="7" borderId="21" xfId="0" applyFill="1" applyBorder="1" applyAlignment="1" applyProtection="1">
      <alignment horizontal="left" vertical="center" wrapText="1" indent="1"/>
      <protection hidden="1"/>
    </xf>
    <xf numFmtId="0" fontId="5" fillId="3" borderId="0" xfId="0" applyFont="1" applyFill="1" applyBorder="1" applyAlignment="1" applyProtection="1">
      <alignment horizontal="center"/>
      <protection hidden="1"/>
    </xf>
    <xf numFmtId="0" fontId="0" fillId="3" borderId="0" xfId="0" applyFill="1" applyBorder="1" applyAlignment="1" applyProtection="1">
      <alignment horizontal="center"/>
      <protection hidden="1"/>
    </xf>
    <xf numFmtId="14" fontId="7" fillId="3" borderId="0" xfId="0" applyNumberFormat="1" applyFont="1" applyFill="1" applyBorder="1" applyAlignment="1" applyProtection="1">
      <alignment horizontal="left"/>
      <protection hidden="1"/>
    </xf>
    <xf numFmtId="0" fontId="11" fillId="3" borderId="1" xfId="0" applyFont="1" applyFill="1" applyBorder="1" applyAlignment="1" applyProtection="1">
      <alignment horizontal="left" vertical="center" wrapText="1" indent="1"/>
      <protection hidden="1"/>
    </xf>
    <xf numFmtId="0" fontId="11" fillId="3" borderId="1" xfId="0" applyFont="1" applyFill="1" applyBorder="1" applyAlignment="1" applyProtection="1">
      <alignment horizontal="center" vertical="center" wrapText="1"/>
      <protection hidden="1"/>
    </xf>
    <xf numFmtId="0" fontId="14" fillId="3" borderId="0" xfId="0" applyFont="1" applyFill="1" applyBorder="1" applyAlignment="1" applyProtection="1">
      <alignment horizontal="left" vertical="top" wrapText="1" indent="1"/>
      <protection hidden="1"/>
    </xf>
    <xf numFmtId="0" fontId="7" fillId="3" borderId="0" xfId="0" applyFont="1" applyFill="1" applyBorder="1" applyAlignment="1" applyProtection="1">
      <alignment horizontal="left" vertical="center" wrapText="1" indent="1"/>
      <protection hidden="1"/>
    </xf>
    <xf numFmtId="0" fontId="7" fillId="3" borderId="2" xfId="0" applyFont="1" applyFill="1" applyBorder="1" applyAlignment="1" applyProtection="1">
      <alignment horizontal="left" vertical="top" wrapText="1" indent="1"/>
      <protection hidden="1"/>
    </xf>
    <xf numFmtId="0" fontId="7" fillId="3" borderId="0" xfId="0" applyFont="1" applyFill="1" applyBorder="1" applyAlignment="1" applyProtection="1">
      <alignment horizontal="left" vertical="top" wrapText="1" indent="1"/>
      <protection hidden="1"/>
    </xf>
    <xf numFmtId="0" fontId="10" fillId="3" borderId="0" xfId="0" applyFont="1" applyFill="1" applyBorder="1" applyAlignment="1" applyProtection="1">
      <alignment horizontal="left" vertical="center" wrapText="1" indent="1"/>
      <protection hidden="1"/>
    </xf>
    <xf numFmtId="0" fontId="9" fillId="3" borderId="0" xfId="0" applyFont="1" applyFill="1" applyBorder="1" applyAlignment="1" applyProtection="1">
      <alignment horizontal="left" vertical="top" wrapText="1" indent="1"/>
      <protection hidden="1"/>
    </xf>
    <xf numFmtId="0" fontId="9" fillId="3" borderId="0" xfId="0" applyFont="1" applyFill="1" applyBorder="1" applyAlignment="1" applyProtection="1">
      <alignment horizontal="left" vertical="top" indent="1"/>
      <protection hidden="1"/>
    </xf>
    <xf numFmtId="0" fontId="11" fillId="3" borderId="0" xfId="0" applyFont="1" applyFill="1" applyBorder="1" applyAlignment="1" applyProtection="1">
      <alignment horizontal="center" vertical="center"/>
      <protection hidden="1"/>
    </xf>
    <xf numFmtId="0" fontId="14" fillId="3" borderId="0" xfId="0" applyFont="1" applyFill="1" applyBorder="1" applyAlignment="1" applyProtection="1">
      <alignment horizontal="left" vertical="top" wrapText="1"/>
      <protection hidden="1"/>
    </xf>
    <xf numFmtId="0" fontId="0" fillId="3" borderId="0" xfId="0" applyFont="1" applyFill="1" applyBorder="1" applyAlignment="1" applyProtection="1">
      <alignment horizontal="left" vertical="top" wrapText="1" indent="1"/>
      <protection hidden="1"/>
    </xf>
    <xf numFmtId="0" fontId="12" fillId="3" borderId="1" xfId="0" applyFont="1" applyFill="1" applyBorder="1" applyAlignment="1" applyProtection="1">
      <alignment horizontal="left" vertical="center" indent="1"/>
      <protection hidden="1"/>
    </xf>
    <xf numFmtId="0" fontId="0" fillId="7" borderId="0" xfId="0" applyFont="1" applyFill="1" applyBorder="1" applyAlignment="1" applyProtection="1">
      <alignment horizontal="left" vertical="center" wrapText="1" indent="1"/>
      <protection locked="0" hidden="1"/>
    </xf>
    <xf numFmtId="0" fontId="30" fillId="7" borderId="0" xfId="1" applyFont="1" applyFill="1" applyAlignment="1" applyProtection="1">
      <alignment horizontal="center"/>
      <protection hidden="1"/>
    </xf>
    <xf numFmtId="0" fontId="5" fillId="7" borderId="0" xfId="0" applyFont="1" applyFill="1" applyBorder="1" applyAlignment="1" applyProtection="1">
      <alignment horizontal="left" vertical="top" wrapText="1" indent="1"/>
      <protection hidden="1"/>
    </xf>
    <xf numFmtId="0" fontId="24" fillId="7" borderId="0" xfId="0" applyFont="1" applyFill="1" applyAlignment="1" applyProtection="1">
      <alignment horizontal="right" vertical="center" wrapText="1"/>
      <protection hidden="1"/>
    </xf>
    <xf numFmtId="0" fontId="24" fillId="7" borderId="0" xfId="0" applyFont="1" applyFill="1" applyAlignment="1" applyProtection="1">
      <alignment horizontal="right" vertical="center"/>
      <protection hidden="1"/>
    </xf>
    <xf numFmtId="0" fontId="0" fillId="0" borderId="0" xfId="0" applyFill="1" applyAlignment="1" applyProtection="1">
      <alignment horizontal="center"/>
      <protection locked="0"/>
    </xf>
    <xf numFmtId="0" fontId="0" fillId="0" borderId="7" xfId="0" applyBorder="1" applyAlignment="1" applyProtection="1">
      <alignment horizontal="left" vertical="center" indent="1"/>
      <protection locked="0"/>
    </xf>
    <xf numFmtId="0" fontId="0" fillId="0" borderId="8" xfId="0" applyBorder="1" applyAlignment="1" applyProtection="1">
      <alignment horizontal="left" vertical="center" indent="1"/>
      <protection locked="0"/>
    </xf>
    <xf numFmtId="0" fontId="0" fillId="0" borderId="9" xfId="0" applyBorder="1" applyAlignment="1" applyProtection="1">
      <alignment horizontal="left" vertical="center" indent="1"/>
      <protection locked="0"/>
    </xf>
    <xf numFmtId="0" fontId="0" fillId="0" borderId="10" xfId="0" applyBorder="1" applyAlignment="1" applyProtection="1">
      <alignment horizontal="left" vertical="center" indent="1"/>
      <protection locked="0"/>
    </xf>
    <xf numFmtId="0" fontId="0" fillId="0" borderId="0" xfId="0" applyBorder="1" applyAlignment="1" applyProtection="1">
      <alignment horizontal="left" vertical="center" indent="1"/>
      <protection locked="0"/>
    </xf>
    <xf numFmtId="0" fontId="0" fillId="0" borderId="4" xfId="0" applyBorder="1" applyAlignment="1" applyProtection="1">
      <alignment horizontal="left" vertical="center" indent="1"/>
      <protection locked="0"/>
    </xf>
    <xf numFmtId="0" fontId="0" fillId="0" borderId="11" xfId="0" applyBorder="1" applyAlignment="1" applyProtection="1">
      <alignment horizontal="left" vertical="center" indent="1"/>
      <protection locked="0"/>
    </xf>
    <xf numFmtId="0" fontId="0" fillId="0" borderId="5" xfId="0" applyBorder="1" applyAlignment="1" applyProtection="1">
      <alignment horizontal="left" vertical="center" indent="1"/>
      <protection locked="0"/>
    </xf>
    <xf numFmtId="0" fontId="0" fillId="0" borderId="6" xfId="0" applyBorder="1" applyAlignment="1" applyProtection="1">
      <alignment horizontal="left" vertical="center" indent="1"/>
      <protection locked="0"/>
    </xf>
    <xf numFmtId="0" fontId="31" fillId="7" borderId="0" xfId="0" applyFont="1" applyFill="1" applyAlignment="1" applyProtection="1">
      <alignment horizontal="left" vertical="top" wrapText="1"/>
      <protection hidden="1"/>
    </xf>
    <xf numFmtId="0" fontId="11" fillId="3" borderId="0" xfId="0" applyFont="1" applyFill="1" applyBorder="1" applyAlignment="1" applyProtection="1">
      <alignment horizontal="left" vertical="center" indent="1"/>
      <protection hidden="1"/>
    </xf>
    <xf numFmtId="0" fontId="1" fillId="7" borderId="0" xfId="0" applyFont="1" applyFill="1" applyAlignment="1" applyProtection="1">
      <alignment horizontal="left" vertical="top" wrapText="1" indent="1"/>
      <protection hidden="1"/>
    </xf>
    <xf numFmtId="0" fontId="1" fillId="7" borderId="0" xfId="0" applyFont="1" applyFill="1" applyAlignment="1" applyProtection="1">
      <alignment horizontal="left" vertical="center" wrapText="1" indent="1"/>
      <protection hidden="1"/>
    </xf>
    <xf numFmtId="0" fontId="1" fillId="7" borderId="0" xfId="0" applyFont="1" applyFill="1" applyAlignment="1" applyProtection="1">
      <alignment horizontal="center" vertical="top" wrapText="1"/>
      <protection hidden="1"/>
    </xf>
    <xf numFmtId="0" fontId="27" fillId="7" borderId="0" xfId="0" applyFont="1" applyFill="1" applyBorder="1" applyAlignment="1" applyProtection="1">
      <alignment horizontal="left" vertical="center" wrapText="1" indent="5"/>
      <protection hidden="1"/>
    </xf>
    <xf numFmtId="0" fontId="7" fillId="7" borderId="0" xfId="0" applyFont="1" applyFill="1" applyAlignment="1" applyProtection="1">
      <alignment horizontal="left" vertical="top" wrapText="1" indent="1"/>
      <protection hidden="1"/>
    </xf>
    <xf numFmtId="0" fontId="32" fillId="7" borderId="0" xfId="0" applyFont="1" applyFill="1" applyAlignment="1" applyProtection="1">
      <alignment horizontal="left" vertical="top" wrapText="1"/>
      <protection hidden="1"/>
    </xf>
    <xf numFmtId="0" fontId="0" fillId="7" borderId="0" xfId="0" applyFill="1" applyAlignment="1" applyProtection="1">
      <alignment horizontal="left" vertical="top" wrapText="1" indent="1"/>
      <protection hidden="1"/>
    </xf>
    <xf numFmtId="0" fontId="12" fillId="3" borderId="1" xfId="0" applyFont="1" applyFill="1" applyBorder="1" applyAlignment="1" applyProtection="1">
      <alignment horizontal="left" vertical="center" wrapText="1" indent="1"/>
      <protection hidden="1"/>
    </xf>
    <xf numFmtId="0" fontId="0" fillId="3" borderId="10" xfId="0" applyFill="1" applyBorder="1" applyAlignment="1" applyProtection="1">
      <alignment horizontal="center"/>
      <protection hidden="1"/>
    </xf>
    <xf numFmtId="0" fontId="0" fillId="3" borderId="4" xfId="0" applyFill="1" applyBorder="1" applyAlignment="1" applyProtection="1">
      <alignment horizontal="center"/>
      <protection hidden="1"/>
    </xf>
    <xf numFmtId="0" fontId="0" fillId="3" borderId="11" xfId="0" applyFill="1" applyBorder="1" applyAlignment="1" applyProtection="1">
      <alignment horizontal="center"/>
      <protection hidden="1"/>
    </xf>
    <xf numFmtId="0" fontId="0" fillId="3" borderId="5" xfId="0" applyFill="1" applyBorder="1" applyAlignment="1" applyProtection="1">
      <alignment horizontal="center"/>
      <protection hidden="1"/>
    </xf>
    <xf numFmtId="0" fontId="0" fillId="3" borderId="6" xfId="0" applyFill="1" applyBorder="1" applyAlignment="1" applyProtection="1">
      <alignment horizontal="center"/>
      <protection hidden="1"/>
    </xf>
    <xf numFmtId="0" fontId="0" fillId="11" borderId="7" xfId="0" applyFill="1" applyBorder="1" applyAlignment="1" applyProtection="1">
      <alignment horizontal="left" wrapText="1" indent="2"/>
      <protection hidden="1"/>
    </xf>
    <xf numFmtId="0" fontId="0" fillId="11" borderId="8" xfId="0" applyFill="1" applyBorder="1" applyAlignment="1" applyProtection="1">
      <alignment horizontal="left" wrapText="1" indent="2"/>
      <protection hidden="1"/>
    </xf>
    <xf numFmtId="0" fontId="0" fillId="11" borderId="9" xfId="0" applyFill="1" applyBorder="1" applyAlignment="1" applyProtection="1">
      <alignment horizontal="left" wrapText="1" indent="2"/>
      <protection hidden="1"/>
    </xf>
    <xf numFmtId="0" fontId="0" fillId="11" borderId="10" xfId="0" applyFill="1" applyBorder="1" applyAlignment="1" applyProtection="1">
      <alignment horizontal="left" wrapText="1" indent="2"/>
      <protection hidden="1"/>
    </xf>
    <xf numFmtId="0" fontId="0" fillId="11" borderId="0" xfId="0" applyFill="1" applyBorder="1" applyAlignment="1" applyProtection="1">
      <alignment horizontal="left" wrapText="1" indent="2"/>
      <protection hidden="1"/>
    </xf>
    <xf numFmtId="0" fontId="0" fillId="11" borderId="4" xfId="0" applyFill="1" applyBorder="1" applyAlignment="1" applyProtection="1">
      <alignment horizontal="left" wrapText="1" indent="2"/>
      <protection hidden="1"/>
    </xf>
    <xf numFmtId="0" fontId="0" fillId="11" borderId="11" xfId="0" applyFill="1" applyBorder="1" applyAlignment="1" applyProtection="1">
      <alignment horizontal="left" wrapText="1" indent="2"/>
      <protection hidden="1"/>
    </xf>
    <xf numFmtId="0" fontId="0" fillId="11" borderId="5" xfId="0" applyFill="1" applyBorder="1" applyAlignment="1" applyProtection="1">
      <alignment horizontal="left" wrapText="1" indent="2"/>
      <protection hidden="1"/>
    </xf>
    <xf numFmtId="0" fontId="0" fillId="11" borderId="6" xfId="0" applyFill="1" applyBorder="1" applyAlignment="1" applyProtection="1">
      <alignment horizontal="left" wrapText="1" indent="2"/>
      <protection hidden="1"/>
    </xf>
    <xf numFmtId="0" fontId="18" fillId="7" borderId="0" xfId="0" applyFont="1" applyFill="1" applyBorder="1" applyAlignment="1" applyProtection="1">
      <alignment horizontal="left" vertical="top" wrapText="1"/>
      <protection locked="0" hidden="1"/>
    </xf>
    <xf numFmtId="0" fontId="27" fillId="7" borderId="0" xfId="0" applyFont="1" applyFill="1" applyBorder="1" applyAlignment="1" applyProtection="1">
      <alignment horizontal="right" vertical="center" wrapText="1" indent="3"/>
      <protection hidden="1"/>
    </xf>
    <xf numFmtId="0" fontId="27" fillId="7" borderId="27" xfId="0" applyFont="1" applyFill="1" applyBorder="1" applyAlignment="1" applyProtection="1">
      <alignment horizontal="left" vertical="top" wrapText="1" indent="6"/>
      <protection hidden="1"/>
    </xf>
    <xf numFmtId="0" fontId="27" fillId="7" borderId="24" xfId="0" applyFont="1" applyFill="1" applyBorder="1" applyAlignment="1" applyProtection="1">
      <alignment horizontal="left" vertical="top" wrapText="1" indent="6"/>
      <protection hidden="1"/>
    </xf>
  </cellXfs>
  <cellStyles count="3">
    <cellStyle name="Hyperkobling" xfId="1" builtinId="8"/>
    <cellStyle name="Normal" xfId="0" builtinId="0"/>
    <cellStyle name="Normal_BREEAM 2006 Calcs MASTERv3" xfId="2" xr:uid="{00000000-0005-0000-0000-000002000000}"/>
  </cellStyles>
  <dxfs count="359">
    <dxf>
      <font>
        <b/>
        <i val="0"/>
        <u/>
      </font>
    </dxf>
    <dxf>
      <font>
        <b/>
        <i val="0"/>
        <u/>
      </font>
    </dxf>
    <dxf>
      <font>
        <b val="0"/>
        <i/>
      </font>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theme="0"/>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theme="0"/>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theme="0"/>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theme="0"/>
        </top>
        <bottom style="thin">
          <color theme="0"/>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theme="0"/>
        </top>
        <bottom style="thin">
          <color theme="0"/>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theme="0"/>
        </top>
        <bottom style="thin">
          <color theme="0"/>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theme="0"/>
        </top>
        <bottom style="thin">
          <color auto="1"/>
        </bottom>
        <vertical/>
        <horizontal/>
      </border>
    </dxf>
    <dxf>
      <border>
        <left style="thin">
          <color auto="1"/>
        </left>
        <right style="thin">
          <color auto="1"/>
        </right>
        <top style="thin">
          <color theme="0"/>
        </top>
        <bottom style="thin">
          <color theme="0"/>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theme="0"/>
        </top>
        <bottom style="thin">
          <color auto="1"/>
        </bottom>
        <vertical/>
        <horizontal/>
      </border>
    </dxf>
    <dxf>
      <border>
        <left style="thin">
          <color auto="1"/>
        </left>
        <right style="thin">
          <color auto="1"/>
        </right>
        <top style="thin">
          <color theme="0"/>
        </top>
        <bottom style="thin">
          <color theme="0"/>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theme="0"/>
        </top>
        <bottom style="thin">
          <color theme="0"/>
        </bottom>
        <vertical/>
        <horizontal/>
      </border>
    </dxf>
    <dxf>
      <border>
        <left style="thin">
          <color auto="1"/>
        </left>
        <right style="thin">
          <color auto="1"/>
        </right>
        <top style="thin">
          <color theme="0"/>
        </top>
        <bottom style="thin">
          <color theme="0"/>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bottom style="thin">
          <color auto="1"/>
        </bottom>
        <vertical/>
        <horizontal/>
      </border>
    </dxf>
    <dxf>
      <font>
        <color theme="0"/>
      </font>
    </dxf>
    <dxf>
      <border>
        <left style="thin">
          <color auto="1"/>
        </left>
        <right style="thin">
          <color auto="1"/>
        </right>
        <top style="thin">
          <color theme="0"/>
        </top>
        <bottom style="thin">
          <color theme="0"/>
        </bottom>
        <vertical/>
        <horizontal/>
      </border>
    </dxf>
    <dxf>
      <border>
        <left style="thin">
          <color theme="1"/>
        </left>
        <right style="thin">
          <color theme="1"/>
        </right>
        <top style="thin">
          <color theme="0"/>
        </top>
        <bottom style="thin">
          <color theme="0"/>
        </bottom>
        <vertical/>
        <horizontal/>
      </border>
    </dxf>
    <dxf>
      <border>
        <left style="thin">
          <color theme="1"/>
        </left>
        <right style="thin">
          <color theme="1"/>
        </right>
        <top style="thin">
          <color theme="0"/>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theme="0"/>
        </top>
        <bottom style="thin">
          <color theme="0"/>
        </bottom>
        <vertical/>
        <horizontal/>
      </border>
    </dxf>
    <dxf>
      <border>
        <bottom style="thin">
          <color theme="0"/>
        </bottom>
        <vertical/>
        <horizontal/>
      </border>
    </dxf>
    <dxf>
      <border>
        <left style="thin">
          <color auto="1"/>
        </left>
        <right style="thin">
          <color auto="1"/>
        </right>
        <top style="thin">
          <color theme="0"/>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bottom style="thin">
          <color auto="1"/>
        </bottom>
        <vertical/>
        <horizontal/>
      </border>
    </dxf>
    <dxf>
      <font>
        <color theme="0"/>
      </font>
      <border>
        <left style="thin">
          <color auto="1"/>
        </left>
        <right style="thin">
          <color auto="1"/>
        </right>
        <top style="thin">
          <color theme="0"/>
        </top>
        <bottom style="thin">
          <color theme="0"/>
        </bottom>
        <vertical/>
        <horizontal/>
      </border>
    </dxf>
    <dxf>
      <border>
        <left style="thin">
          <color theme="1"/>
        </left>
        <right style="thin">
          <color theme="1"/>
        </right>
        <bottom style="thin">
          <color theme="0"/>
        </bottom>
        <vertical/>
        <horizontal/>
      </border>
    </dxf>
    <dxf>
      <border>
        <left style="thin">
          <color auto="1"/>
        </left>
        <top style="thin">
          <color theme="0"/>
        </top>
        <bottom style="thin">
          <color auto="1"/>
        </bottom>
        <vertical/>
        <horizontal/>
      </border>
    </dxf>
    <dxf>
      <border>
        <left style="thin">
          <color auto="1"/>
        </left>
        <right style="thin">
          <color auto="1"/>
        </right>
        <top style="thin">
          <color auto="1"/>
        </top>
        <bottom style="thin">
          <color auto="1"/>
        </bottom>
        <vertical/>
        <horizontal/>
      </border>
    </dxf>
    <dxf>
      <font>
        <color theme="0"/>
      </font>
    </dxf>
    <dxf>
      <border>
        <left style="thin">
          <color auto="1"/>
        </left>
        <right style="thin">
          <color auto="1"/>
        </right>
        <top style="thin">
          <color theme="0"/>
        </top>
        <bottom style="thin">
          <color theme="0"/>
        </bottom>
        <vertical/>
        <horizontal/>
      </border>
    </dxf>
    <dxf>
      <border>
        <bottom style="thin">
          <color theme="0"/>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vertical/>
        <horizontal/>
      </border>
    </dxf>
    <dxf>
      <font>
        <color theme="0"/>
      </font>
      <border>
        <left style="thin">
          <color theme="1"/>
        </left>
        <right style="thin">
          <color theme="1"/>
        </right>
        <top style="thin">
          <color theme="0"/>
        </top>
        <bottom style="thin">
          <color theme="0"/>
        </bottom>
        <vertical/>
        <horizontal/>
      </border>
    </dxf>
    <dxf>
      <border>
        <left style="thin">
          <color auto="1"/>
        </left>
        <vertical/>
        <horizontal/>
      </border>
    </dxf>
    <dxf>
      <border>
        <bottom style="thin">
          <color theme="0"/>
        </bottom>
      </border>
    </dxf>
    <dxf>
      <border>
        <left style="thin">
          <color auto="1"/>
        </left>
        <right style="thin">
          <color auto="1"/>
        </right>
        <top style="thin">
          <color auto="1"/>
        </top>
        <bottom style="thin">
          <color auto="1"/>
        </bottom>
        <vertical/>
        <horizontal/>
      </border>
    </dxf>
    <dxf>
      <font>
        <u/>
      </font>
    </dxf>
    <dxf>
      <border>
        <left style="thin">
          <color auto="1"/>
        </left>
        <right style="thin">
          <color auto="1"/>
        </right>
        <top style="thin">
          <color auto="1"/>
        </top>
        <bottom style="thin">
          <color theme="0"/>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theme="0"/>
        </bottom>
        <vertical/>
        <horizontal/>
      </border>
    </dxf>
    <dxf>
      <border>
        <left style="thin">
          <color auto="1"/>
        </left>
        <right style="thin">
          <color auto="1"/>
        </right>
        <top style="thin">
          <color auto="1"/>
        </top>
        <bottom style="thin">
          <color auto="1"/>
        </bottom>
        <vertical/>
        <horizontal/>
      </border>
    </dxf>
    <dxf>
      <font>
        <color theme="0"/>
      </font>
      <border>
        <left style="thin">
          <color auto="1"/>
        </left>
        <right style="thin">
          <color auto="1"/>
        </right>
        <top style="thin">
          <color auto="1"/>
        </top>
        <bottom style="thin">
          <color theme="0"/>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theme="0"/>
        </top>
        <bottom style="thin">
          <color auto="1"/>
        </bottom>
        <vertical/>
        <horizontal/>
      </border>
    </dxf>
    <dxf>
      <border>
        <left style="thin">
          <color theme="1"/>
        </left>
        <right style="thin">
          <color theme="1"/>
        </right>
        <top style="thin">
          <color theme="0"/>
        </top>
        <bottom style="thin">
          <color theme="0"/>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vertical/>
        <horizontal/>
      </border>
    </dxf>
    <dxf>
      <border>
        <left style="thin">
          <color auto="1"/>
        </left>
        <right style="thin">
          <color auto="1"/>
        </right>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bottom style="thin">
          <color auto="1"/>
        </bottom>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theme="0"/>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theme="0"/>
        </top>
        <bottom style="thin">
          <color theme="0"/>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theme="0"/>
        </top>
        <bottom style="thin">
          <color theme="0"/>
        </bottom>
        <vertical/>
        <horizontal/>
      </border>
    </dxf>
    <dxf>
      <border>
        <bottom style="thin">
          <color theme="0"/>
        </bottom>
        <vertical/>
        <horizontal/>
      </border>
    </dxf>
    <dxf>
      <border>
        <left style="thin">
          <color auto="1"/>
        </left>
        <right/>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theme="0"/>
        </top>
        <bottom style="thin">
          <color theme="0"/>
        </bottom>
        <vertical/>
        <horizontal/>
      </border>
    </dxf>
    <dxf>
      <border>
        <bottom style="thin">
          <color theme="0"/>
        </bottom>
        <vertical/>
        <horizontal/>
      </border>
    </dxf>
    <dxf>
      <border>
        <left/>
        <right style="thin">
          <color auto="1"/>
        </right>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vertical/>
        <horizontal/>
      </border>
    </dxf>
    <dxf>
      <border>
        <left style="thin">
          <color auto="1"/>
        </left>
        <right style="thin">
          <color auto="1"/>
        </right>
        <top style="thin">
          <color auto="1"/>
        </top>
        <bottom style="thin">
          <color theme="0"/>
        </bottom>
        <vertical/>
        <horizontal/>
      </border>
    </dxf>
    <dxf>
      <border>
        <left style="thin">
          <color auto="1"/>
        </left>
        <right style="thin">
          <color auto="1"/>
        </right>
        <top style="thin">
          <color theme="0"/>
        </top>
        <bottom style="thin">
          <color auto="1"/>
        </bottom>
        <vertical/>
        <horizontal/>
      </border>
    </dxf>
    <dxf>
      <border>
        <left style="thin">
          <color auto="1"/>
        </left>
        <right style="thin">
          <color auto="1"/>
        </right>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theme="0"/>
        </bottom>
        <vertical/>
        <horizontal/>
      </border>
    </dxf>
    <dxf>
      <border>
        <left style="thin">
          <color theme="1"/>
        </left>
        <right style="thin">
          <color theme="1"/>
        </right>
        <top style="thin">
          <color theme="0"/>
        </top>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border>
    </dxf>
    <dxf>
      <border>
        <left style="thin">
          <color auto="1"/>
        </left>
        <right style="thin">
          <color auto="1"/>
        </right>
        <top style="thin">
          <color auto="1"/>
        </top>
        <bottom style="thin">
          <color theme="0"/>
        </bottom>
        <vertical/>
        <horizontal/>
      </border>
    </dxf>
    <dxf>
      <border>
        <left style="thin">
          <color auto="1"/>
        </left>
        <right style="thin">
          <color auto="1"/>
        </right>
        <top style="thin">
          <color theme="0"/>
        </top>
        <bottom style="thin">
          <color auto="1"/>
        </bottom>
        <vertical/>
        <horizontal/>
      </border>
    </dxf>
    <dxf>
      <border>
        <left style="thin">
          <color auto="1"/>
        </left>
        <right style="thin">
          <color auto="1"/>
        </right>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theme="0"/>
        </bottom>
        <vertical/>
        <horizontal/>
      </border>
    </dxf>
    <dxf>
      <font>
        <color theme="0"/>
      </font>
      <border>
        <left style="thin">
          <color theme="1"/>
        </left>
        <right style="thin">
          <color theme="1"/>
        </right>
        <top style="thin">
          <color theme="0"/>
        </top>
        <bottom style="thin">
          <color theme="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border>
    </dxf>
    <dxf>
      <font>
        <color theme="0"/>
      </font>
      <border>
        <left style="thin">
          <color theme="1"/>
        </left>
        <right style="thin">
          <color theme="1"/>
        </right>
        <top style="thin">
          <color theme="0"/>
        </top>
        <bottom style="thin">
          <color theme="1"/>
        </bottom>
        <vertical/>
        <horizontal/>
      </border>
    </dxf>
    <dxf>
      <font>
        <color theme="0"/>
      </font>
      <border>
        <left style="thin">
          <color auto="1"/>
        </left>
        <right style="thin">
          <color auto="1"/>
        </right>
        <top style="thin">
          <color theme="0"/>
        </top>
        <bottom style="thin">
          <color theme="0"/>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vertical/>
        <horizontal/>
      </border>
    </dxf>
    <dxf>
      <border>
        <left style="thin">
          <color auto="1"/>
        </left>
        <right style="thin">
          <color auto="1"/>
        </right>
        <top style="thin">
          <color auto="1"/>
        </top>
        <bottom style="thin">
          <color theme="0"/>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vertical/>
        <horizontal/>
      </border>
    </dxf>
    <dxf>
      <border>
        <left style="thin">
          <color auto="1"/>
        </left>
        <right style="thin">
          <color auto="1"/>
        </right>
        <top style="thin">
          <color auto="1"/>
        </top>
        <bottom style="thin">
          <color auto="1"/>
        </bottom>
        <vertical/>
        <horizontal/>
      </border>
    </dxf>
    <dxf>
      <border>
        <left/>
        <right/>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vertical/>
        <horizontal/>
      </border>
    </dxf>
    <dxf>
      <border>
        <left style="thin">
          <color auto="1"/>
        </left>
        <right style="thin">
          <color auto="1"/>
        </right>
        <top style="thin">
          <color auto="1"/>
        </top>
        <bottom style="thin">
          <color auto="1"/>
        </bottom>
      </border>
    </dxf>
    <dxf>
      <border>
        <left/>
        <right/>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vertical/>
        <horizontal/>
      </border>
    </dxf>
    <dxf>
      <border>
        <left/>
        <right/>
        <top/>
        <bottom style="thin">
          <color auto="1"/>
        </bottom>
        <vertical/>
        <horizontal/>
      </border>
    </dxf>
    <dxf>
      <border>
        <left style="thin">
          <color auto="1"/>
        </left>
        <right style="thin">
          <color auto="1"/>
        </right>
        <top style="thin">
          <color auto="1"/>
        </top>
        <bottom style="thin">
          <color auto="1"/>
        </bottom>
        <vertical/>
        <horizontal/>
      </border>
    </dxf>
    <dxf>
      <border>
        <left/>
        <right/>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border>
    </dxf>
    <dxf>
      <border>
        <left style="thin">
          <color auto="1"/>
        </left>
        <right style="thin">
          <color auto="1"/>
        </right>
        <vertical/>
        <horizontal/>
      </border>
    </dxf>
    <dxf>
      <border>
        <left/>
        <right/>
        <top/>
        <bottom style="thin">
          <color auto="1"/>
        </bottom>
        <vertical/>
        <horizontal/>
      </border>
    </dxf>
    <dxf>
      <border>
        <left style="thin">
          <color auto="1"/>
        </left>
        <right style="thin">
          <color auto="1"/>
        </right>
        <top style="thin">
          <color auto="1"/>
        </top>
        <bottom style="thin">
          <color theme="0"/>
        </bottom>
        <vertical/>
        <horizontal/>
      </border>
    </dxf>
    <dxf>
      <border>
        <left style="thin">
          <color auto="1"/>
        </left>
        <right style="thin">
          <color auto="1"/>
        </right>
        <top style="thin">
          <color theme="0"/>
        </top>
        <bottom style="thin">
          <color auto="1"/>
        </bottom>
        <vertical/>
        <horizontal/>
      </border>
    </dxf>
    <dxf>
      <border>
        <left style="thin">
          <color auto="1"/>
        </left>
        <right style="thin">
          <color auto="1"/>
        </right>
        <top/>
        <bottom style="thin">
          <color auto="1"/>
        </bottom>
        <vertical/>
        <horizontal/>
      </border>
    </dxf>
    <dxf>
      <border>
        <left style="thin">
          <color auto="1"/>
        </left>
        <right style="thin">
          <color auto="1"/>
        </right>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bottom style="thin">
          <color auto="1"/>
        </bottom>
        <vertical/>
        <horizontal/>
      </border>
    </dxf>
    <dxf>
      <border>
        <left style="thin">
          <color auto="1"/>
        </left>
        <right style="thin">
          <color auto="1"/>
        </right>
        <top/>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theme="0"/>
        </top>
        <bottom style="thin">
          <color auto="1"/>
        </bottom>
        <vertical/>
        <horizontal/>
      </border>
    </dxf>
    <dxf>
      <border>
        <left style="thin">
          <color theme="1"/>
        </left>
        <right style="thin">
          <color theme="1"/>
        </right>
        <top style="thin">
          <color theme="0"/>
        </top>
        <bottom style="thin">
          <color theme="0"/>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theme="0"/>
        </top>
        <bottom style="thin">
          <color theme="0"/>
        </bottom>
        <vertical/>
        <horizontal/>
      </border>
    </dxf>
    <dxf>
      <border>
        <right style="thin">
          <color auto="1"/>
        </right>
        <vertical/>
        <horizontal/>
      </border>
    </dxf>
    <dxf>
      <border>
        <left style="thin">
          <color auto="1"/>
        </left>
        <right style="thin">
          <color auto="1"/>
        </right>
        <top style="thin">
          <color theme="0"/>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theme="0"/>
        </top>
        <bottom style="thin">
          <color theme="0"/>
        </bottom>
        <vertical/>
        <horizontal/>
      </border>
    </dxf>
    <dxf>
      <border>
        <right style="thin">
          <color auto="1"/>
        </right>
        <vertical/>
        <horizontal/>
      </border>
    </dxf>
    <dxf>
      <border>
        <bottom style="thin">
          <color theme="0"/>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theme="0"/>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bottom style="thin">
          <color auto="1"/>
        </bottom>
        <vertical/>
        <horizontal/>
      </border>
    </dxf>
    <dxf>
      <border>
        <left style="thin">
          <color auto="1"/>
        </left>
        <right style="thin">
          <color auto="1"/>
        </right>
        <top style="thin">
          <color auto="1"/>
        </top>
        <bottom style="thin">
          <color auto="1"/>
        </bottom>
        <vertical/>
        <horizontal/>
      </border>
    </dxf>
    <dxf>
      <font>
        <b/>
        <i val="0"/>
      </font>
      <border>
        <top style="thin">
          <color auto="1"/>
        </top>
        <bottom style="thin">
          <color auto="1"/>
        </bottom>
        <vertical/>
        <horizontal/>
      </border>
    </dxf>
    <dxf>
      <border>
        <bottom/>
        <vertical/>
        <horizontal/>
      </border>
    </dxf>
    <dxf>
      <border>
        <bottom/>
        <vertical/>
        <horizontal/>
      </border>
    </dxf>
    <dxf>
      <border>
        <bottom/>
        <vertical/>
        <horizontal/>
      </border>
    </dxf>
    <dxf>
      <border>
        <left/>
        <right/>
        <top style="thin">
          <color auto="1"/>
        </top>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bottom style="thin">
          <color auto="1"/>
        </bottom>
        <vertical/>
        <horizontal/>
      </border>
    </dxf>
    <dxf>
      <border>
        <left/>
        <right/>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style="thin">
          <color auto="1"/>
        </top>
        <bottom style="thin">
          <color auto="1"/>
        </bottom>
        <vertical/>
        <horizontal/>
      </border>
    </dxf>
    <dxf>
      <border>
        <left style="thin">
          <color auto="1"/>
        </left>
        <right style="thin">
          <color auto="1"/>
        </right>
        <top/>
        <bottom/>
        <vertical/>
        <horizontal/>
      </border>
    </dxf>
    <dxf>
      <font>
        <color rgb="FF3D6864"/>
      </font>
      <fill>
        <patternFill>
          <bgColor rgb="FF3D6864"/>
        </patternFill>
      </fill>
    </dxf>
    <dxf>
      <font>
        <color theme="0"/>
      </font>
      <fill>
        <patternFill patternType="lightUp">
          <fgColor theme="0" tint="-0.24994659260841701"/>
          <bgColor theme="0"/>
        </patternFill>
      </fill>
    </dxf>
    <dxf>
      <fill>
        <patternFill>
          <bgColor theme="0"/>
        </patternFill>
      </fill>
    </dxf>
    <dxf>
      <border>
        <left/>
        <right style="thin">
          <color theme="0" tint="-0.499984740745262"/>
        </right>
        <top style="thin">
          <color theme="0" tint="-0.499984740745262"/>
        </top>
        <bottom style="thin">
          <color theme="0" tint="-0.499984740745262"/>
        </bottom>
        <vertical/>
        <horizontal/>
      </border>
    </dxf>
    <dxf>
      <font>
        <color rgb="FF3D6864"/>
      </font>
      <fill>
        <patternFill>
          <bgColor rgb="FF3D6864"/>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fill>
        <patternFill>
          <bgColor theme="0"/>
        </patternFill>
      </fill>
    </dxf>
    <dxf>
      <border>
        <left/>
        <right style="thin">
          <color theme="0" tint="-0.499984740745262"/>
        </right>
        <top style="thin">
          <color theme="0" tint="-0.499984740745262"/>
        </top>
        <bottom style="thin">
          <color theme="0" tint="-0.499984740745262"/>
        </bottom>
        <vertical/>
        <horizontal/>
      </border>
    </dxf>
    <dxf>
      <border>
        <left/>
        <right/>
        <vertical/>
        <horizontal/>
      </border>
    </dxf>
    <dxf>
      <border>
        <left/>
        <right style="thin">
          <color theme="0" tint="-0.499984740745262"/>
        </right>
        <top/>
        <bottom/>
        <vertical/>
        <horizontal/>
      </border>
    </dxf>
    <dxf>
      <border>
        <left style="thin">
          <color theme="0"/>
        </left>
        <vertical/>
        <horizontal/>
      </border>
    </dxf>
    <dxf>
      <border>
        <left style="thin">
          <color theme="0"/>
        </left>
        <vertical/>
        <horizontal/>
      </border>
    </dxf>
    <dxf>
      <fill>
        <patternFill>
          <bgColor rgb="FFE6F0F0"/>
        </patternFill>
      </fill>
      <border>
        <left style="thin">
          <color theme="0" tint="-0.499984740745262"/>
        </left>
        <right style="thin">
          <color theme="0"/>
        </right>
        <top style="thin">
          <color theme="0" tint="-0.499984740745262"/>
        </top>
        <bottom style="thin">
          <color theme="0"/>
        </bottom>
        <vertical/>
        <horizontal/>
      </border>
    </dxf>
    <dxf>
      <font>
        <color rgb="FF3D6864"/>
      </font>
      <fill>
        <patternFill>
          <bgColor rgb="FF3D6864"/>
        </patternFill>
      </fill>
    </dxf>
    <dxf>
      <fill>
        <patternFill>
          <bgColor theme="0"/>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E6F0F0"/>
        </patternFill>
      </fill>
    </dxf>
    <dxf>
      <font>
        <color rgb="FF3D6864"/>
      </font>
      <fill>
        <patternFill>
          <bgColor rgb="FF3D6864"/>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font>
        <color theme="0"/>
      </font>
      <fill>
        <patternFill patternType="lightUp">
          <fgColor theme="0" tint="-0.24994659260841701"/>
          <bgColor theme="0"/>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0"/>
        </patternFill>
      </fill>
    </dxf>
    <dxf>
      <border>
        <left/>
        <right style="thin">
          <color theme="0" tint="-0.499984740745262"/>
        </right>
        <top style="thin">
          <color theme="0" tint="-0.499984740745262"/>
        </top>
        <bottom style="thin">
          <color theme="0" tint="-0.499984740745262"/>
        </bottom>
        <vertical/>
        <horizontal/>
      </border>
    </dxf>
    <dxf>
      <fill>
        <patternFill>
          <bgColor rgb="FFE6F0F0"/>
        </patternFill>
      </fill>
    </dxf>
    <dxf>
      <font>
        <color rgb="FF3D6864"/>
      </font>
      <fill>
        <patternFill>
          <bgColor rgb="FF3D6864"/>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theme="0"/>
        </patternFill>
      </fill>
    </dxf>
    <dxf>
      <border>
        <left/>
        <right style="thin">
          <color theme="0" tint="-0.499984740745262"/>
        </right>
        <top style="thin">
          <color theme="0" tint="-0.499984740745262"/>
        </top>
        <bottom style="thin">
          <color theme="0" tint="-0.499984740745262"/>
        </bottom>
        <vertical/>
        <horizontal/>
      </border>
    </dxf>
    <dxf>
      <fill>
        <patternFill>
          <bgColor rgb="FFE6F0F0"/>
        </patternFill>
      </fill>
    </dxf>
    <dxf>
      <font>
        <color rgb="FF3D6864"/>
      </font>
      <fill>
        <patternFill>
          <bgColor rgb="FF3D6864"/>
        </patternFill>
      </fill>
    </dxf>
    <dxf>
      <fill>
        <patternFill>
          <bgColor theme="0"/>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font>
        <color auto="1"/>
      </font>
      <fill>
        <patternFill>
          <bgColor rgb="FFE6F0F0"/>
        </patternFill>
      </fill>
    </dxf>
    <dxf>
      <font>
        <color rgb="FF3D6864"/>
      </font>
      <fill>
        <patternFill>
          <bgColor rgb="FF3D6864"/>
        </patternFill>
      </fill>
    </dxf>
    <dxf>
      <fill>
        <patternFill>
          <bgColor theme="0"/>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font>
        <color rgb="FF3D6864"/>
      </font>
      <fill>
        <patternFill>
          <bgColor rgb="FF3D6864"/>
        </patternFill>
      </fill>
    </dxf>
    <dxf>
      <fill>
        <patternFill>
          <bgColor theme="0"/>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E6F0F0"/>
        </patternFill>
      </fill>
    </dxf>
    <dxf>
      <font>
        <color rgb="FF3D6864"/>
      </font>
      <fill>
        <patternFill>
          <bgColor rgb="FF3D6864"/>
        </patternFill>
      </fill>
    </dxf>
    <dxf>
      <fill>
        <patternFill>
          <bgColor theme="0"/>
        </patternFill>
      </fill>
    </dxf>
    <dxf>
      <border>
        <left style="thin">
          <color theme="0" tint="-0.499984740745262"/>
        </left>
        <right style="thin">
          <color theme="0" tint="-0.499984740745262"/>
        </right>
        <top style="thin">
          <color theme="0" tint="-0.499984740745262"/>
        </top>
        <bottom style="thin">
          <color theme="0" tint="-0.499984740745262"/>
        </bottom>
        <vertical/>
        <horizontal/>
      </border>
    </dxf>
    <dxf>
      <border>
        <left style="thin">
          <color theme="0" tint="-0.499984740745262"/>
        </left>
        <right style="thin">
          <color theme="0" tint="-0.499984740745262"/>
        </right>
        <top style="thin">
          <color theme="0" tint="-0.499984740745262"/>
        </top>
        <bottom style="thin">
          <color theme="0" tint="-0.499984740745262"/>
        </bottom>
        <vertical/>
        <horizontal/>
      </border>
    </dxf>
    <dxf>
      <fill>
        <patternFill>
          <bgColor rgb="FFE6F0F0"/>
        </patternFill>
      </fill>
    </dxf>
    <dxf>
      <fill>
        <patternFill>
          <bgColor rgb="FFE6F0F0"/>
        </patternFill>
      </fill>
      <border>
        <left style="thin">
          <color theme="0" tint="-0.499984740745262"/>
        </left>
        <right style="thin">
          <color theme="0"/>
        </right>
        <top style="thin">
          <color theme="0" tint="-0.499984740745262"/>
        </top>
        <bottom style="thin">
          <color theme="0"/>
        </bottom>
      </border>
    </dxf>
    <dxf>
      <border>
        <right style="thin">
          <color theme="0" tint="-0.499984740745262"/>
        </right>
        <vertical/>
        <horizontal/>
      </border>
    </dxf>
    <dxf>
      <border>
        <right style="thin">
          <color theme="0" tint="-0.499984740745262"/>
        </right>
        <vertical/>
        <horizontal/>
      </border>
    </dxf>
    <dxf>
      <border>
        <left/>
        <right/>
        <top/>
        <bottom style="thin">
          <color theme="0" tint="-0.499984740745262"/>
        </bottom>
        <vertical/>
        <horizontal/>
      </border>
    </dxf>
    <dxf>
      <border>
        <bottom style="thin">
          <color theme="0" tint="-0.499984740745262"/>
        </bottom>
        <vertical/>
        <horizontal/>
      </border>
    </dxf>
    <dxf>
      <border>
        <left style="thin">
          <color theme="0"/>
        </left>
        <vertical/>
        <horizontal/>
      </border>
    </dxf>
    <dxf>
      <border>
        <top style="thin">
          <color theme="0"/>
        </top>
        <vertical/>
        <horizontal/>
      </border>
    </dxf>
    <dxf>
      <border>
        <left style="thin">
          <color theme="0"/>
        </left>
        <vertical/>
        <horizontal/>
      </border>
    </dxf>
    <dxf>
      <border>
        <top style="thin">
          <color theme="0"/>
        </top>
        <vertical/>
        <horizontal/>
      </border>
    </dxf>
    <dxf>
      <fill>
        <patternFill>
          <bgColor rgb="FFE6F0F0"/>
        </patternFill>
      </fill>
      <border>
        <left/>
        <right/>
        <top/>
        <bottom/>
        <vertical/>
        <horizontal/>
      </border>
    </dxf>
    <dxf>
      <fill>
        <patternFill>
          <bgColor rgb="FFE6F0F0"/>
        </patternFill>
      </fill>
    </dxf>
    <dxf>
      <border>
        <left style="thin">
          <color theme="0"/>
        </left>
        <right/>
        <vertical/>
        <horizontal/>
      </border>
    </dxf>
    <dxf>
      <border>
        <left/>
        <right style="thin">
          <color theme="0" tint="-0.499984740745262"/>
        </right>
        <top/>
        <bottom/>
        <vertical/>
        <horizontal/>
      </border>
    </dxf>
    <dxf>
      <fill>
        <patternFill>
          <bgColor rgb="FFE6F0F0"/>
        </patternFill>
      </fill>
      <border>
        <left/>
        <right/>
        <top/>
        <bottom/>
        <vertical/>
        <horizontal/>
      </border>
    </dxf>
    <dxf>
      <border>
        <left style="thin">
          <color theme="0" tint="-0.499984740745262"/>
        </left>
        <right/>
        <top style="thin">
          <color theme="0" tint="-0.499984740745262"/>
        </top>
        <bottom/>
        <vertical/>
        <horizontal/>
      </border>
    </dxf>
    <dxf>
      <fill>
        <patternFill>
          <bgColor rgb="FFE6F0F0"/>
        </patternFill>
      </fill>
    </dxf>
    <dxf>
      <border>
        <left style="thin">
          <color theme="0" tint="-0.499984740745262"/>
        </left>
        <right/>
        <top/>
        <bottom style="thin">
          <color theme="0"/>
        </bottom>
        <vertical/>
        <horizontal/>
      </border>
    </dxf>
    <dxf>
      <border>
        <top style="thin">
          <color theme="0"/>
        </top>
        <vertical/>
        <horizontal/>
      </border>
    </dxf>
    <dxf>
      <font>
        <u/>
        <color rgb="FF1108BE"/>
      </font>
    </dxf>
    <dxf>
      <font>
        <u/>
        <color rgb="FF1108BE"/>
      </font>
      <border>
        <right style="thin">
          <color theme="0"/>
        </right>
        <bottom style="thin">
          <color theme="0"/>
        </bottom>
        <vertical/>
        <horizontal/>
      </border>
    </dxf>
    <dxf>
      <fill>
        <patternFill>
          <bgColor rgb="FFE6F0F0"/>
        </patternFill>
      </fill>
      <border>
        <right/>
      </border>
    </dxf>
    <dxf>
      <border>
        <left/>
        <right/>
        <top/>
        <bottom style="thin">
          <color theme="0"/>
        </bottom>
      </border>
    </dxf>
    <dxf>
      <border>
        <left style="thin">
          <color theme="0" tint="-0.499984740745262"/>
        </left>
        <right/>
        <top/>
        <bottom/>
        <vertical/>
        <horizontal/>
      </border>
    </dxf>
    <dxf>
      <fill>
        <patternFill>
          <bgColor rgb="FFE6F0F0"/>
        </patternFill>
      </fill>
      <border>
        <left/>
        <right/>
        <top/>
        <bottom/>
        <vertical/>
        <horizontal/>
      </border>
    </dxf>
    <dxf>
      <fill>
        <patternFill>
          <bgColor rgb="FFE6F0F0"/>
        </patternFill>
      </fill>
      <border>
        <left style="thin">
          <color theme="0" tint="-0.499984740745262"/>
        </left>
        <right/>
        <top style="thin">
          <color theme="0" tint="-0.499984740745262"/>
        </top>
        <bottom/>
        <vertical/>
        <horizontal/>
      </border>
    </dxf>
    <dxf>
      <fill>
        <patternFill>
          <bgColor rgb="FFE6F0F0"/>
        </patternFill>
      </fill>
      <border>
        <left style="thin">
          <color theme="0" tint="-0.499984740745262"/>
        </left>
        <right style="thin">
          <color theme="0"/>
        </right>
        <top style="thin">
          <color theme="0" tint="-0.499984740745262"/>
        </top>
        <bottom style="thin">
          <color theme="0"/>
        </bottom>
      </border>
    </dxf>
    <dxf>
      <fill>
        <patternFill>
          <bgColor rgb="FFE6F0F0"/>
        </patternFill>
      </fill>
      <border>
        <left style="thin">
          <color theme="0" tint="-0.499984740745262"/>
        </left>
        <right style="thin">
          <color theme="0"/>
        </right>
        <top style="thin">
          <color theme="0" tint="-0.499984740745262"/>
        </top>
        <bottom/>
        <vertical/>
        <horizontal/>
      </border>
    </dxf>
    <dxf>
      <fill>
        <patternFill>
          <bgColor rgb="FFE6F0F0"/>
        </patternFill>
      </fill>
      <border>
        <left/>
        <right/>
        <top/>
        <bottom/>
        <vertical/>
        <horizontal/>
      </border>
    </dxf>
    <dxf>
      <font>
        <u/>
        <color rgb="FF1108BE"/>
      </font>
    </dxf>
    <dxf>
      <font>
        <u/>
        <color rgb="FF1108BE"/>
      </font>
    </dxf>
    <dxf>
      <font>
        <u/>
        <color rgb="FF1108BE"/>
      </font>
    </dxf>
    <dxf>
      <font>
        <u/>
        <color rgb="FF1108BE"/>
      </font>
    </dxf>
    <dxf>
      <font>
        <strike val="0"/>
        <u/>
        <color rgb="FF1108BE"/>
      </font>
      <border>
        <bottom style="thin">
          <color theme="0"/>
        </bottom>
      </border>
    </dxf>
    <dxf>
      <font>
        <u/>
        <color rgb="FF1108BE"/>
      </font>
    </dxf>
    <dxf>
      <font>
        <u/>
        <color rgb="FF1108BE"/>
      </font>
    </dxf>
    <dxf>
      <fill>
        <patternFill>
          <bgColor rgb="FFE6F0F0"/>
        </patternFill>
      </fill>
      <border>
        <left style="thin">
          <color theme="0" tint="-0.499984740745262"/>
        </left>
        <right style="thin">
          <color theme="0"/>
        </right>
        <top/>
        <bottom/>
        <vertical/>
        <horizontal/>
      </border>
    </dxf>
    <dxf>
      <font>
        <u/>
        <color rgb="FF1108BE"/>
      </font>
      <border>
        <bottom style="thin">
          <color theme="0"/>
        </bottom>
      </border>
    </dxf>
    <dxf>
      <font>
        <u/>
        <color rgb="FF1108BE"/>
      </font>
      <border>
        <bottom style="thin">
          <color theme="0"/>
        </bottom>
      </border>
    </dxf>
    <dxf>
      <font>
        <u/>
        <color rgb="FF1108BE"/>
      </font>
    </dxf>
    <dxf>
      <font>
        <u/>
        <color rgb="FF1108BE"/>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rgb="FF3D6864"/>
        </patternFill>
      </fill>
    </dxf>
    <dxf>
      <fill>
        <patternFill>
          <bgColor theme="0"/>
        </patternFill>
      </fill>
    </dxf>
    <dxf>
      <fill>
        <patternFill>
          <bgColor rgb="FF3D6864"/>
        </patternFill>
      </fill>
    </dxf>
    <dxf>
      <fill>
        <patternFill>
          <bgColor rgb="FF3D6864"/>
        </patternFill>
      </fill>
    </dxf>
    <dxf>
      <fill>
        <patternFill>
          <bgColor rgb="FF3D6864"/>
        </patternFill>
      </fill>
    </dxf>
    <dxf>
      <fill>
        <patternFill>
          <bgColor theme="0"/>
        </patternFill>
      </fill>
    </dxf>
    <dxf>
      <fill>
        <patternFill>
          <bgColor rgb="FFE6F0F0"/>
        </patternFill>
      </fill>
      <border>
        <left style="thin">
          <color theme="0" tint="-0.499984740745262"/>
        </left>
        <right style="thin">
          <color rgb="FF9CC4C0"/>
        </right>
        <top style="thin">
          <color rgb="FF27413F"/>
        </top>
        <bottom style="thin">
          <color rgb="FF9CC4C0"/>
        </bottom>
        <vertical/>
        <horizontal/>
      </border>
    </dxf>
    <dxf>
      <fill>
        <patternFill>
          <bgColor rgb="FFE6F0F0"/>
        </patternFill>
      </fill>
      <border>
        <left style="thin">
          <color rgb="FF27413F"/>
        </left>
        <right style="thin">
          <color rgb="FF9CC4C0"/>
        </right>
        <top style="thin">
          <color rgb="FF27413F"/>
        </top>
        <bottom style="thin">
          <color rgb="FF9CC4C0"/>
        </bottom>
        <vertical/>
        <horizontal/>
      </border>
    </dxf>
    <dxf>
      <fill>
        <patternFill>
          <bgColor rgb="FFE6F0F0"/>
        </patternFill>
      </fill>
      <border>
        <left style="thin">
          <color theme="0" tint="-0.499984740745262"/>
        </left>
        <right style="thin">
          <color rgb="FF9CC4C0"/>
        </right>
        <top style="thin">
          <color rgb="FF27413F"/>
        </top>
        <bottom style="thin">
          <color rgb="FF9CC4C0"/>
        </bottom>
        <vertical/>
        <horizontal/>
      </border>
    </dxf>
    <dxf>
      <fill>
        <patternFill>
          <bgColor rgb="FFE6F0F0"/>
        </patternFill>
      </fill>
      <border>
        <left style="thin">
          <color rgb="FF27413F"/>
        </left>
        <right style="thin">
          <color rgb="FF9CC4C0"/>
        </right>
        <top style="thin">
          <color rgb="FF27413F"/>
        </top>
        <bottom style="thin">
          <color rgb="FF9CC4C0"/>
        </bottom>
        <vertical/>
        <horizontal/>
      </border>
    </dxf>
    <dxf>
      <fill>
        <patternFill>
          <bgColor rgb="FFE6F0F0"/>
        </patternFill>
      </fill>
      <border>
        <left style="thin">
          <color theme="0" tint="-0.499984740745262"/>
        </left>
        <right style="thin">
          <color rgb="FF9CC4C0"/>
        </right>
        <top style="thin">
          <color rgb="FF27413F"/>
        </top>
        <bottom style="thin">
          <color rgb="FF9CC4C0"/>
        </bottom>
        <vertical/>
        <horizontal/>
      </border>
    </dxf>
    <dxf>
      <fill>
        <patternFill>
          <bgColor rgb="FFE6F0F0"/>
        </patternFill>
      </fill>
      <border>
        <left style="thin">
          <color rgb="FF27413F"/>
        </left>
        <right style="thin">
          <color rgb="FF9CC4C0"/>
        </right>
        <top style="thin">
          <color rgb="FF27413F"/>
        </top>
        <bottom style="thin">
          <color rgb="FF9CC4C0"/>
        </bottom>
        <vertical/>
        <horizontal/>
      </border>
    </dxf>
    <dxf>
      <fill>
        <patternFill>
          <bgColor rgb="FFE6F0F0"/>
        </patternFill>
      </fill>
      <border>
        <left style="thin">
          <color theme="0" tint="-0.499984740745262"/>
        </left>
        <right style="thin">
          <color rgb="FF9CC4C0"/>
        </right>
        <top style="thin">
          <color rgb="FF27413F"/>
        </top>
        <bottom style="thin">
          <color rgb="FF9CC4C0"/>
        </bottom>
        <vertical/>
        <horizontal/>
      </border>
    </dxf>
    <dxf>
      <fill>
        <patternFill>
          <bgColor rgb="FFE6F0F0"/>
        </patternFill>
      </fill>
      <border>
        <left style="thin">
          <color rgb="FF27413F"/>
        </left>
        <right style="thin">
          <color rgb="FF9CC4C0"/>
        </right>
        <top style="thin">
          <color rgb="FF27413F"/>
        </top>
        <bottom style="thin">
          <color rgb="FF9CC4C0"/>
        </bottom>
        <vertical/>
        <horizontal/>
      </border>
    </dxf>
    <dxf>
      <fill>
        <patternFill>
          <bgColor rgb="FFE6F0F0"/>
        </patternFill>
      </fill>
      <border>
        <left style="thin">
          <color theme="0" tint="-0.499984740745262"/>
        </left>
        <right style="thin">
          <color rgb="FF9CC4C0"/>
        </right>
        <top style="thin">
          <color rgb="FF27413F"/>
        </top>
        <bottom style="thin">
          <color rgb="FF9CC4C0"/>
        </bottom>
        <vertical/>
        <horizontal/>
      </border>
    </dxf>
    <dxf>
      <fill>
        <patternFill>
          <bgColor rgb="FFE6F0F0"/>
        </patternFill>
      </fill>
      <border>
        <left style="thin">
          <color rgb="FF27413F"/>
        </left>
        <right style="thin">
          <color rgb="FF9CC4C0"/>
        </right>
        <top style="thin">
          <color rgb="FF27413F"/>
        </top>
        <bottom style="thin">
          <color rgb="FF9CC4C0"/>
        </bottom>
        <vertical/>
        <horizontal/>
      </border>
    </dxf>
    <dxf>
      <fill>
        <patternFill>
          <bgColor rgb="FFE6F0F0"/>
        </patternFill>
      </fill>
      <border>
        <left style="thin">
          <color theme="0" tint="-0.499984740745262"/>
        </left>
        <right style="thin">
          <color rgb="FF9CC4C0"/>
        </right>
        <top style="thin">
          <color rgb="FF27413F"/>
        </top>
        <bottom style="thin">
          <color rgb="FF9CC4C0"/>
        </bottom>
        <vertical/>
        <horizontal/>
      </border>
    </dxf>
    <dxf>
      <fill>
        <patternFill>
          <bgColor rgb="FFE6F0F0"/>
        </patternFill>
      </fill>
      <border>
        <left style="thin">
          <color rgb="FF27413F"/>
        </left>
        <right style="thin">
          <color rgb="FF9CC4C0"/>
        </right>
        <top style="thin">
          <color rgb="FF27413F"/>
        </top>
        <bottom style="thin">
          <color rgb="FF9CC4C0"/>
        </bottom>
        <vertical/>
        <horizontal/>
      </border>
    </dxf>
    <dxf>
      <fill>
        <patternFill>
          <bgColor rgb="FFE6F0F0"/>
        </patternFill>
      </fill>
      <border>
        <left style="thin">
          <color theme="0" tint="-0.499984740745262"/>
        </left>
        <right style="thin">
          <color rgb="FF9CC4C0"/>
        </right>
        <top style="thin">
          <color rgb="FF27413F"/>
        </top>
        <bottom style="thin">
          <color rgb="FF9CC4C0"/>
        </bottom>
        <vertical/>
        <horizontal/>
      </border>
    </dxf>
    <dxf>
      <fill>
        <patternFill>
          <bgColor rgb="FFE6F0F0"/>
        </patternFill>
      </fill>
      <border>
        <left style="thin">
          <color rgb="FF27413F"/>
        </left>
        <right style="thin">
          <color rgb="FF9CC4C0"/>
        </right>
        <top style="thin">
          <color rgb="FF27413F"/>
        </top>
        <bottom style="thin">
          <color rgb="FF9CC4C0"/>
        </bottom>
        <vertical/>
        <horizontal/>
      </border>
    </dxf>
    <dxf>
      <fill>
        <patternFill>
          <bgColor rgb="FFE6F0F0"/>
        </patternFill>
      </fill>
      <border>
        <left style="thin">
          <color theme="0" tint="-0.499984740745262"/>
        </left>
        <right style="thin">
          <color rgb="FF9CC4C0"/>
        </right>
        <top style="thin">
          <color rgb="FF27413F"/>
        </top>
        <bottom style="thin">
          <color rgb="FF9CC4C0"/>
        </bottom>
        <vertical/>
        <horizontal/>
      </border>
    </dxf>
    <dxf>
      <fill>
        <patternFill>
          <bgColor rgb="FFE6F0F0"/>
        </patternFill>
      </fill>
      <border>
        <left style="thin">
          <color rgb="FF27413F"/>
        </left>
        <right style="thin">
          <color rgb="FF9CC4C0"/>
        </right>
        <top style="thin">
          <color rgb="FF27413F"/>
        </top>
        <bottom style="thin">
          <color rgb="FF9CC4C0"/>
        </bottom>
        <vertical/>
        <horizontal/>
      </border>
    </dxf>
    <dxf>
      <fill>
        <patternFill>
          <bgColor rgb="FFE6F0F0"/>
        </patternFill>
      </fill>
      <border>
        <left style="thin">
          <color theme="0" tint="-0.499984740745262"/>
        </left>
        <right style="thin">
          <color rgb="FF9CC4C0"/>
        </right>
        <top style="thin">
          <color rgb="FF27413F"/>
        </top>
        <bottom style="thin">
          <color rgb="FF9CC4C0"/>
        </bottom>
        <vertical/>
        <horizontal/>
      </border>
    </dxf>
    <dxf>
      <fill>
        <patternFill>
          <bgColor rgb="FFE6F0F0"/>
        </patternFill>
      </fill>
      <border>
        <left style="thin">
          <color rgb="FF27413F"/>
        </left>
        <right style="thin">
          <color rgb="FF9CC4C0"/>
        </right>
        <top style="thin">
          <color rgb="FF27413F"/>
        </top>
        <bottom style="thin">
          <color rgb="FF9CC4C0"/>
        </bottom>
        <vertical/>
        <horizontal/>
      </border>
    </dxf>
    <dxf>
      <fill>
        <patternFill>
          <bgColor rgb="FFE6F0F0"/>
        </patternFill>
      </fill>
      <border>
        <left style="thin">
          <color theme="0" tint="-0.499984740745262"/>
        </left>
        <right style="thin">
          <color rgb="FF9CC4C0"/>
        </right>
        <top style="thin">
          <color rgb="FF27413F"/>
        </top>
        <bottom style="thin">
          <color rgb="FF9CC4C0"/>
        </bottom>
        <vertical/>
        <horizontal/>
      </border>
    </dxf>
    <dxf>
      <fill>
        <patternFill>
          <bgColor rgb="FFE6F0F0"/>
        </patternFill>
      </fill>
      <border>
        <left style="thin">
          <color rgb="FF27413F"/>
        </left>
        <right style="thin">
          <color rgb="FF9CC4C0"/>
        </right>
        <top style="thin">
          <color rgb="FF27413F"/>
        </top>
        <bottom style="thin">
          <color rgb="FF9CC4C0"/>
        </bottom>
        <vertical/>
        <horizontal/>
      </border>
    </dxf>
    <dxf>
      <fill>
        <patternFill>
          <bgColor rgb="FFE6F0F0"/>
        </patternFill>
      </fill>
      <border>
        <left/>
        <right style="thin">
          <color theme="0" tint="-0.24994659260841701"/>
        </right>
        <top style="thin">
          <color rgb="FF27413F"/>
        </top>
        <bottom style="thin">
          <color rgb="FF9CC4C0"/>
        </bottom>
        <vertical/>
        <horizontal/>
      </border>
    </dxf>
    <dxf>
      <fill>
        <patternFill>
          <bgColor rgb="FFE6F0F0"/>
        </patternFill>
      </fill>
      <border>
        <left/>
        <right style="thin">
          <color theme="0" tint="-0.24994659260841701"/>
        </right>
        <top style="thin">
          <color rgb="FF27413F"/>
        </top>
        <bottom style="thin">
          <color rgb="FF9CC4C0"/>
        </bottom>
        <vertical/>
        <horizontal/>
      </border>
    </dxf>
    <dxf>
      <fill>
        <patternFill>
          <bgColor rgb="FFE6F0F0"/>
        </patternFill>
      </fill>
      <border>
        <left/>
        <right style="thin">
          <color theme="0" tint="-0.24994659260841701"/>
        </right>
        <top style="thin">
          <color rgb="FF27413F"/>
        </top>
        <bottom style="thin">
          <color rgb="FF9CC4C0"/>
        </bottom>
        <vertical/>
        <horizontal/>
      </border>
    </dxf>
    <dxf>
      <fill>
        <patternFill>
          <bgColor rgb="FFE6F0F0"/>
        </patternFill>
      </fill>
      <border>
        <left/>
        <right style="thin">
          <color theme="0" tint="-0.24994659260841701"/>
        </right>
        <top style="thin">
          <color rgb="FF27413F"/>
        </top>
        <bottom style="thin">
          <color rgb="FF9CC4C0"/>
        </bottom>
        <vertical/>
        <horizontal/>
      </border>
    </dxf>
    <dxf>
      <fill>
        <patternFill>
          <bgColor rgb="FFE6F0F0"/>
        </patternFill>
      </fill>
      <border>
        <left/>
        <right style="thin">
          <color theme="0" tint="-0.24994659260841701"/>
        </right>
        <top style="thin">
          <color rgb="FF27413F"/>
        </top>
        <bottom style="thin">
          <color rgb="FF9CC4C0"/>
        </bottom>
        <vertical/>
        <horizontal/>
      </border>
    </dxf>
    <dxf>
      <fill>
        <patternFill>
          <bgColor rgb="FFE6F0F0"/>
        </patternFill>
      </fill>
      <border>
        <left/>
        <right style="thin">
          <color theme="0" tint="-0.24994659260841701"/>
        </right>
        <top style="thin">
          <color rgb="FF27413F"/>
        </top>
        <bottom style="thin">
          <color rgb="FF9CC4C0"/>
        </bottom>
        <vertical/>
        <horizontal/>
      </border>
    </dxf>
    <dxf>
      <fill>
        <patternFill>
          <bgColor rgb="FFE6F0F0"/>
        </patternFill>
      </fill>
      <border>
        <left/>
        <right style="thin">
          <color theme="0" tint="-0.24994659260841701"/>
        </right>
        <top style="thin">
          <color rgb="FF27413F"/>
        </top>
        <bottom style="thin">
          <color rgb="FF9CC4C0"/>
        </bottom>
        <vertical/>
        <horizontal/>
      </border>
    </dxf>
    <dxf>
      <fill>
        <patternFill>
          <bgColor rgb="FFE6F0F0"/>
        </patternFill>
      </fill>
      <border>
        <left/>
        <right style="thin">
          <color theme="0" tint="-0.24994659260841701"/>
        </right>
        <top style="thin">
          <color rgb="FF27413F"/>
        </top>
        <bottom style="thin">
          <color rgb="FF9CC4C0"/>
        </bottom>
        <vertical/>
        <horizontal/>
      </border>
    </dxf>
    <dxf>
      <fill>
        <patternFill>
          <bgColor rgb="FFE6F0F0"/>
        </patternFill>
      </fill>
      <border>
        <left/>
        <right style="thin">
          <color theme="0" tint="-0.24994659260841701"/>
        </right>
        <top style="thin">
          <color rgb="FF27413F"/>
        </top>
        <bottom style="thin">
          <color rgb="FF9CC4C0"/>
        </bottom>
        <vertical/>
        <horizontal/>
      </border>
    </dxf>
    <dxf>
      <fill>
        <patternFill>
          <bgColor rgb="FFE6F0F0"/>
        </patternFill>
      </fill>
      <border>
        <left/>
        <right style="thin">
          <color theme="0" tint="-0.24994659260841701"/>
        </right>
        <top style="thin">
          <color rgb="FF27413F"/>
        </top>
        <bottom style="thin">
          <color rgb="FF9CC4C0"/>
        </bottom>
        <vertical/>
        <horizontal/>
      </border>
    </dxf>
    <dxf>
      <font>
        <b/>
        <i/>
        <color rgb="FFC00000"/>
      </font>
    </dxf>
    <dxf>
      <font>
        <b/>
        <i/>
        <color rgb="FFC00000"/>
      </font>
    </dxf>
  </dxfs>
  <tableStyles count="0" defaultTableStyle="TableStyleMedium2" defaultPivotStyle="PivotStyleLight16"/>
  <colors>
    <mruColors>
      <color rgb="FFE6F028"/>
      <color rgb="FF3D6864"/>
      <color rgb="FF15FFFF"/>
      <color rgb="FFD0EBB3"/>
      <color rgb="FF1108BE"/>
      <color rgb="FF9CC4C0"/>
      <color rgb="FF27413F"/>
      <color rgb="FFE6F0F0"/>
      <color rgb="FFE7F1F0"/>
      <color rgb="FFD3E5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Drop" dropStyle="combo" dx="16" fmlaLink="$R$48" fmlaRange="$S$49:$S$51" sel="1" val="0"/>
</file>

<file path=xl/ctrlProps/ctrlProp10.xml><?xml version="1.0" encoding="utf-8"?>
<formControlPr xmlns="http://schemas.microsoft.com/office/spreadsheetml/2009/9/main" objectType="GBox"/>
</file>

<file path=xl/ctrlProps/ctrlProp11.xml><?xml version="1.0" encoding="utf-8"?>
<formControlPr xmlns="http://schemas.microsoft.com/office/spreadsheetml/2009/9/main" objectType="GBox"/>
</file>

<file path=xl/ctrlProps/ctrlProp12.xml><?xml version="1.0" encoding="utf-8"?>
<formControlPr xmlns="http://schemas.microsoft.com/office/spreadsheetml/2009/9/main" objectType="GBox"/>
</file>

<file path=xl/ctrlProps/ctrlProp13.xml><?xml version="1.0" encoding="utf-8"?>
<formControlPr xmlns="http://schemas.microsoft.com/office/spreadsheetml/2009/9/main" objectType="Radio" firstButton="1" fmlaLink="$T$88" lockText="1"/>
</file>

<file path=xl/ctrlProps/ctrlProp14.xml><?xml version="1.0" encoding="utf-8"?>
<formControlPr xmlns="http://schemas.microsoft.com/office/spreadsheetml/2009/9/main" objectType="Radio" checked="Checked" lockText="1"/>
</file>

<file path=xl/ctrlProps/ctrlProp15.xml><?xml version="1.0" encoding="utf-8"?>
<formControlPr xmlns="http://schemas.microsoft.com/office/spreadsheetml/2009/9/main" objectType="Radio" firstButton="1" fmlaLink="$T$92" lockText="1"/>
</file>

<file path=xl/ctrlProps/ctrlProp16.xml><?xml version="1.0" encoding="utf-8"?>
<formControlPr xmlns="http://schemas.microsoft.com/office/spreadsheetml/2009/9/main" objectType="Radio" checked="Checked" lockText="1"/>
</file>

<file path=xl/ctrlProps/ctrlProp17.xml><?xml version="1.0" encoding="utf-8"?>
<formControlPr xmlns="http://schemas.microsoft.com/office/spreadsheetml/2009/9/main" objectType="Radio" firstButton="1" fmlaLink="$T$102" lockText="1"/>
</file>

<file path=xl/ctrlProps/ctrlProp18.xml><?xml version="1.0" encoding="utf-8"?>
<formControlPr xmlns="http://schemas.microsoft.com/office/spreadsheetml/2009/9/main" objectType="Radio" checked="Checked" lockText="1"/>
</file>

<file path=xl/ctrlProps/ctrlProp19.xml><?xml version="1.0" encoding="utf-8"?>
<formControlPr xmlns="http://schemas.microsoft.com/office/spreadsheetml/2009/9/main" objectType="Radio" firstButton="1" fmlaLink="$T$108" lockText="1"/>
</file>

<file path=xl/ctrlProps/ctrlProp2.xml><?xml version="1.0" encoding="utf-8"?>
<formControlPr xmlns="http://schemas.microsoft.com/office/spreadsheetml/2009/9/main" objectType="Drop" dropStyle="combo" dx="16" fmlaLink="$R$52" fmlaRange="$S$53:$S$55" sel="1" val="0"/>
</file>

<file path=xl/ctrlProps/ctrlProp20.xml><?xml version="1.0" encoding="utf-8"?>
<formControlPr xmlns="http://schemas.microsoft.com/office/spreadsheetml/2009/9/main" objectType="Radio" firstButton="1" fmlaLink="$T$112" lockText="1"/>
</file>

<file path=xl/ctrlProps/ctrlProp21.xml><?xml version="1.0" encoding="utf-8"?>
<formControlPr xmlns="http://schemas.microsoft.com/office/spreadsheetml/2009/9/main" objectType="Radio" checked="Checked" lockText="1"/>
</file>

<file path=xl/ctrlProps/ctrlProp22.xml><?xml version="1.0" encoding="utf-8"?>
<formControlPr xmlns="http://schemas.microsoft.com/office/spreadsheetml/2009/9/main" objectType="Radio" firstButton="1" fmlaLink="$T$119" lockText="1"/>
</file>

<file path=xl/ctrlProps/ctrlProp23.xml><?xml version="1.0" encoding="utf-8"?>
<formControlPr xmlns="http://schemas.microsoft.com/office/spreadsheetml/2009/9/main" objectType="Radio" checked="Checked" lockText="1"/>
</file>

<file path=xl/ctrlProps/ctrlProp24.xml><?xml version="1.0" encoding="utf-8"?>
<formControlPr xmlns="http://schemas.microsoft.com/office/spreadsheetml/2009/9/main" objectType="Radio" firstButton="1" fmlaLink="$T$126" lockText="1"/>
</file>

<file path=xl/ctrlProps/ctrlProp25.xml><?xml version="1.0" encoding="utf-8"?>
<formControlPr xmlns="http://schemas.microsoft.com/office/spreadsheetml/2009/9/main" objectType="Radio" checked="Checked" lockText="1"/>
</file>

<file path=xl/ctrlProps/ctrlProp26.xml><?xml version="1.0" encoding="utf-8"?>
<formControlPr xmlns="http://schemas.microsoft.com/office/spreadsheetml/2009/9/main" objectType="Radio" firstButton="1" fmlaLink="$T$133" lockText="1"/>
</file>

<file path=xl/ctrlProps/ctrlProp27.xml><?xml version="1.0" encoding="utf-8"?>
<formControlPr xmlns="http://schemas.microsoft.com/office/spreadsheetml/2009/9/main" objectType="Radio" checked="Checked" lockText="1"/>
</file>

<file path=xl/ctrlProps/ctrlProp28.xml><?xml version="1.0" encoding="utf-8"?>
<formControlPr xmlns="http://schemas.microsoft.com/office/spreadsheetml/2009/9/main" objectType="Radio" firstButton="1" fmlaLink="$T$142" lockText="1"/>
</file>

<file path=xl/ctrlProps/ctrlProp29.xml><?xml version="1.0" encoding="utf-8"?>
<formControlPr xmlns="http://schemas.microsoft.com/office/spreadsheetml/2009/9/main" objectType="Radio" checked="Checked" lockText="1"/>
</file>

<file path=xl/ctrlProps/ctrlProp3.xml><?xml version="1.0" encoding="utf-8"?>
<formControlPr xmlns="http://schemas.microsoft.com/office/spreadsheetml/2009/9/main" objectType="Drop" dropStyle="combo" dx="16" fmlaLink="$R$60" fmlaRange="$Q$61:$Q$72" sel="1" val="0"/>
</file>

<file path=xl/ctrlProps/ctrlProp30.xml><?xml version="1.0" encoding="utf-8"?>
<formControlPr xmlns="http://schemas.microsoft.com/office/spreadsheetml/2009/9/main" objectType="GBox"/>
</file>

<file path=xl/ctrlProps/ctrlProp31.xml><?xml version="1.0" encoding="utf-8"?>
<formControlPr xmlns="http://schemas.microsoft.com/office/spreadsheetml/2009/9/main" objectType="Radio" checked="Checked" firstButton="1" fmlaLink="$T$150" lockText="1"/>
</file>

<file path=xl/ctrlProps/ctrlProp32.xml><?xml version="1.0" encoding="utf-8"?>
<formControlPr xmlns="http://schemas.microsoft.com/office/spreadsheetml/2009/9/main" objectType="Radio" lockText="1"/>
</file>

<file path=xl/ctrlProps/ctrlProp33.xml><?xml version="1.0" encoding="utf-8"?>
<formControlPr xmlns="http://schemas.microsoft.com/office/spreadsheetml/2009/9/main" objectType="Radio" lockText="1"/>
</file>

<file path=xl/ctrlProps/ctrlProp34.xml><?xml version="1.0" encoding="utf-8"?>
<formControlPr xmlns="http://schemas.microsoft.com/office/spreadsheetml/2009/9/main" objectType="Drop" dropStyle="combo" dx="16" fmlaLink="$V$5" fmlaRange="$W$6:$W$8" sel="1" val="0"/>
</file>

<file path=xl/ctrlProps/ctrlProp35.xml><?xml version="1.0" encoding="utf-8"?>
<formControlPr xmlns="http://schemas.microsoft.com/office/spreadsheetml/2009/9/main" objectType="Radio" checked="Checked" lockText="1"/>
</file>

<file path=xl/ctrlProps/ctrlProp4.xml><?xml version="1.0" encoding="utf-8"?>
<formControlPr xmlns="http://schemas.microsoft.com/office/spreadsheetml/2009/9/main" objectType="GBox"/>
</file>

<file path=xl/ctrlProps/ctrlProp5.xml><?xml version="1.0" encoding="utf-8"?>
<formControlPr xmlns="http://schemas.microsoft.com/office/spreadsheetml/2009/9/main" objectType="GBox"/>
</file>

<file path=xl/ctrlProps/ctrlProp6.xml><?xml version="1.0" encoding="utf-8"?>
<formControlPr xmlns="http://schemas.microsoft.com/office/spreadsheetml/2009/9/main" objectType="GBox"/>
</file>

<file path=xl/ctrlProps/ctrlProp7.xml><?xml version="1.0" encoding="utf-8"?>
<formControlPr xmlns="http://schemas.microsoft.com/office/spreadsheetml/2009/9/main" objectType="GBox"/>
</file>

<file path=xl/ctrlProps/ctrlProp8.xml><?xml version="1.0" encoding="utf-8"?>
<formControlPr xmlns="http://schemas.microsoft.com/office/spreadsheetml/2009/9/main" objectType="GBox"/>
</file>

<file path=xl/ctrlProps/ctrlProp9.xml><?xml version="1.0" encoding="utf-8"?>
<formControlPr xmlns="http://schemas.microsoft.com/office/spreadsheetml/2009/9/main" objectType="GBox"/>
</file>

<file path=xl/drawings/_rels/drawing1.xml.rels><?xml version="1.0" encoding="UTF-8" standalone="yes"?>
<Relationships xmlns="http://schemas.openxmlformats.org/package/2006/relationships"><Relationship Id="rId3" Type="http://schemas.openxmlformats.org/officeDocument/2006/relationships/hyperlink" Target="http://ngbc.no/breeam-nor" TargetMode="External"/><Relationship Id="rId2" Type="http://schemas.openxmlformats.org/officeDocument/2006/relationships/image" Target="../media/image2.tiff"/><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ngbc.no/" TargetMode="External"/><Relationship Id="rId4" Type="http://schemas.openxmlformats.org/officeDocument/2006/relationships/image" Target="../media/image3.tif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38100</xdr:colOff>
          <xdr:row>7</xdr:row>
          <xdr:rowOff>190500</xdr:rowOff>
        </xdr:from>
        <xdr:to>
          <xdr:col>10</xdr:col>
          <xdr:colOff>1085850</xdr:colOff>
          <xdr:row>8</xdr:row>
          <xdr:rowOff>247650</xdr:rowOff>
        </xdr:to>
        <xdr:sp macro="" textlink="">
          <xdr:nvSpPr>
            <xdr:cNvPr id="1028" name="Drop Down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11</xdr:row>
          <xdr:rowOff>9525</xdr:rowOff>
        </xdr:from>
        <xdr:to>
          <xdr:col>10</xdr:col>
          <xdr:colOff>1085850</xdr:colOff>
          <xdr:row>12</xdr:row>
          <xdr:rowOff>0</xdr:rowOff>
        </xdr:to>
        <xdr:sp macro="" textlink="">
          <xdr:nvSpPr>
            <xdr:cNvPr id="1029" name="Drop Down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14</xdr:row>
          <xdr:rowOff>9525</xdr:rowOff>
        </xdr:from>
        <xdr:to>
          <xdr:col>10</xdr:col>
          <xdr:colOff>1085850</xdr:colOff>
          <xdr:row>15</xdr:row>
          <xdr:rowOff>66675</xdr:rowOff>
        </xdr:to>
        <xdr:sp macro="" textlink="">
          <xdr:nvSpPr>
            <xdr:cNvPr id="1030" name="Drop Down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81</xdr:row>
          <xdr:rowOff>190500</xdr:rowOff>
        </xdr:from>
        <xdr:to>
          <xdr:col>13</xdr:col>
          <xdr:colOff>828675</xdr:colOff>
          <xdr:row>88</xdr:row>
          <xdr:rowOff>9525</xdr:rowOff>
        </xdr:to>
        <xdr:sp macro="" textlink="">
          <xdr:nvSpPr>
            <xdr:cNvPr id="1046" name="Group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89</xdr:row>
          <xdr:rowOff>9525</xdr:rowOff>
        </xdr:from>
        <xdr:to>
          <xdr:col>13</xdr:col>
          <xdr:colOff>838200</xdr:colOff>
          <xdr:row>95</xdr:row>
          <xdr:rowOff>19050</xdr:rowOff>
        </xdr:to>
        <xdr:sp macro="" textlink="">
          <xdr:nvSpPr>
            <xdr:cNvPr id="1047" name="Group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96</xdr:row>
          <xdr:rowOff>0</xdr:rowOff>
        </xdr:from>
        <xdr:to>
          <xdr:col>13</xdr:col>
          <xdr:colOff>838200</xdr:colOff>
          <xdr:row>102</xdr:row>
          <xdr:rowOff>9525</xdr:rowOff>
        </xdr:to>
        <xdr:sp macro="" textlink="">
          <xdr:nvSpPr>
            <xdr:cNvPr id="1048" name="Group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103</xdr:row>
          <xdr:rowOff>0</xdr:rowOff>
        </xdr:from>
        <xdr:to>
          <xdr:col>13</xdr:col>
          <xdr:colOff>828675</xdr:colOff>
          <xdr:row>109</xdr:row>
          <xdr:rowOff>0</xdr:rowOff>
        </xdr:to>
        <xdr:sp macro="" textlink="">
          <xdr:nvSpPr>
            <xdr:cNvPr id="1049" name="Group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110</xdr:row>
          <xdr:rowOff>0</xdr:rowOff>
        </xdr:from>
        <xdr:to>
          <xdr:col>13</xdr:col>
          <xdr:colOff>828675</xdr:colOff>
          <xdr:row>116</xdr:row>
          <xdr:rowOff>9525</xdr:rowOff>
        </xdr:to>
        <xdr:sp macro="" textlink="">
          <xdr:nvSpPr>
            <xdr:cNvPr id="1050" name="Group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117</xdr:row>
          <xdr:rowOff>0</xdr:rowOff>
        </xdr:from>
        <xdr:to>
          <xdr:col>13</xdr:col>
          <xdr:colOff>838200</xdr:colOff>
          <xdr:row>123</xdr:row>
          <xdr:rowOff>9525</xdr:rowOff>
        </xdr:to>
        <xdr:sp macro="" textlink="">
          <xdr:nvSpPr>
            <xdr:cNvPr id="1051" name="Group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123</xdr:row>
          <xdr:rowOff>180975</xdr:rowOff>
        </xdr:from>
        <xdr:to>
          <xdr:col>13</xdr:col>
          <xdr:colOff>819150</xdr:colOff>
          <xdr:row>130</xdr:row>
          <xdr:rowOff>19050</xdr:rowOff>
        </xdr:to>
        <xdr:sp macro="" textlink="">
          <xdr:nvSpPr>
            <xdr:cNvPr id="1052" name="Group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130</xdr:row>
          <xdr:rowOff>190500</xdr:rowOff>
        </xdr:from>
        <xdr:to>
          <xdr:col>13</xdr:col>
          <xdr:colOff>819150</xdr:colOff>
          <xdr:row>137</xdr:row>
          <xdr:rowOff>0</xdr:rowOff>
        </xdr:to>
        <xdr:sp macro="" textlink="">
          <xdr:nvSpPr>
            <xdr:cNvPr id="1053" name="Group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137</xdr:row>
          <xdr:rowOff>190500</xdr:rowOff>
        </xdr:from>
        <xdr:to>
          <xdr:col>13</xdr:col>
          <xdr:colOff>809625</xdr:colOff>
          <xdr:row>144</xdr:row>
          <xdr:rowOff>0</xdr:rowOff>
        </xdr:to>
        <xdr:sp macro="" textlink="">
          <xdr:nvSpPr>
            <xdr:cNvPr id="1054" name="Group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84</xdr:row>
          <xdr:rowOff>28575</xdr:rowOff>
        </xdr:from>
        <xdr:to>
          <xdr:col>12</xdr:col>
          <xdr:colOff>704850</xdr:colOff>
          <xdr:row>85</xdr:row>
          <xdr:rowOff>152400</xdr:rowOff>
        </xdr:to>
        <xdr:sp macro="" textlink="">
          <xdr:nvSpPr>
            <xdr:cNvPr id="1056" name="Option Button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84</xdr:row>
          <xdr:rowOff>28575</xdr:rowOff>
        </xdr:from>
        <xdr:to>
          <xdr:col>13</xdr:col>
          <xdr:colOff>695325</xdr:colOff>
          <xdr:row>85</xdr:row>
          <xdr:rowOff>152400</xdr:rowOff>
        </xdr:to>
        <xdr:sp macro="" textlink="">
          <xdr:nvSpPr>
            <xdr:cNvPr id="1057" name="Option Button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91</xdr:row>
          <xdr:rowOff>28575</xdr:rowOff>
        </xdr:from>
        <xdr:to>
          <xdr:col>12</xdr:col>
          <xdr:colOff>704850</xdr:colOff>
          <xdr:row>92</xdr:row>
          <xdr:rowOff>152400</xdr:rowOff>
        </xdr:to>
        <xdr:sp macro="" textlink="">
          <xdr:nvSpPr>
            <xdr:cNvPr id="1059" name="Option Button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91</xdr:row>
          <xdr:rowOff>28575</xdr:rowOff>
        </xdr:from>
        <xdr:to>
          <xdr:col>13</xdr:col>
          <xdr:colOff>685800</xdr:colOff>
          <xdr:row>92</xdr:row>
          <xdr:rowOff>152400</xdr:rowOff>
        </xdr:to>
        <xdr:sp macro="" textlink="">
          <xdr:nvSpPr>
            <xdr:cNvPr id="1060" name="Option Button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98</xdr:row>
          <xdr:rowOff>28575</xdr:rowOff>
        </xdr:from>
        <xdr:to>
          <xdr:col>12</xdr:col>
          <xdr:colOff>704850</xdr:colOff>
          <xdr:row>99</xdr:row>
          <xdr:rowOff>142875</xdr:rowOff>
        </xdr:to>
        <xdr:sp macro="" textlink="">
          <xdr:nvSpPr>
            <xdr:cNvPr id="1064" name="Option Button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98</xdr:row>
          <xdr:rowOff>38100</xdr:rowOff>
        </xdr:from>
        <xdr:to>
          <xdr:col>13</xdr:col>
          <xdr:colOff>685800</xdr:colOff>
          <xdr:row>99</xdr:row>
          <xdr:rowOff>152400</xdr:rowOff>
        </xdr:to>
        <xdr:sp macro="" textlink="">
          <xdr:nvSpPr>
            <xdr:cNvPr id="1065" name="Option Button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105</xdr:row>
          <xdr:rowOff>38100</xdr:rowOff>
        </xdr:from>
        <xdr:to>
          <xdr:col>12</xdr:col>
          <xdr:colOff>723900</xdr:colOff>
          <xdr:row>106</xdr:row>
          <xdr:rowOff>152400</xdr:rowOff>
        </xdr:to>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112</xdr:row>
          <xdr:rowOff>38100</xdr:rowOff>
        </xdr:from>
        <xdr:to>
          <xdr:col>12</xdr:col>
          <xdr:colOff>704850</xdr:colOff>
          <xdr:row>113</xdr:row>
          <xdr:rowOff>152400</xdr:rowOff>
        </xdr:to>
        <xdr:sp macro="" textlink="">
          <xdr:nvSpPr>
            <xdr:cNvPr id="1068" name="Option Button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266700</xdr:colOff>
          <xdr:row>112</xdr:row>
          <xdr:rowOff>38100</xdr:rowOff>
        </xdr:from>
        <xdr:to>
          <xdr:col>13</xdr:col>
          <xdr:colOff>695325</xdr:colOff>
          <xdr:row>113</xdr:row>
          <xdr:rowOff>152400</xdr:rowOff>
        </xdr:to>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118</xdr:row>
          <xdr:rowOff>142875</xdr:rowOff>
        </xdr:from>
        <xdr:to>
          <xdr:col>12</xdr:col>
          <xdr:colOff>657225</xdr:colOff>
          <xdr:row>120</xdr:row>
          <xdr:rowOff>57150</xdr:rowOff>
        </xdr:to>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118</xdr:row>
          <xdr:rowOff>133350</xdr:rowOff>
        </xdr:from>
        <xdr:to>
          <xdr:col>13</xdr:col>
          <xdr:colOff>685800</xdr:colOff>
          <xdr:row>120</xdr:row>
          <xdr:rowOff>47625</xdr:rowOff>
        </xdr:to>
        <xdr:sp macro="" textlink="">
          <xdr:nvSpPr>
            <xdr:cNvPr id="1071" name="Option Button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126</xdr:row>
          <xdr:rowOff>38100</xdr:rowOff>
        </xdr:from>
        <xdr:to>
          <xdr:col>12</xdr:col>
          <xdr:colOff>704850</xdr:colOff>
          <xdr:row>127</xdr:row>
          <xdr:rowOff>152400</xdr:rowOff>
        </xdr:to>
        <xdr:sp macro="" textlink="">
          <xdr:nvSpPr>
            <xdr:cNvPr id="1072" name="Option Button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126</xdr:row>
          <xdr:rowOff>28575</xdr:rowOff>
        </xdr:from>
        <xdr:to>
          <xdr:col>13</xdr:col>
          <xdr:colOff>685800</xdr:colOff>
          <xdr:row>127</xdr:row>
          <xdr:rowOff>142875</xdr:rowOff>
        </xdr:to>
        <xdr:sp macro="" textlink="">
          <xdr:nvSpPr>
            <xdr:cNvPr id="1073" name="Option Button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133</xdr:row>
          <xdr:rowOff>28575</xdr:rowOff>
        </xdr:from>
        <xdr:to>
          <xdr:col>12</xdr:col>
          <xdr:colOff>704850</xdr:colOff>
          <xdr:row>134</xdr:row>
          <xdr:rowOff>142875</xdr:rowOff>
        </xdr:to>
        <xdr:sp macro="" textlink="">
          <xdr:nvSpPr>
            <xdr:cNvPr id="1074" name="Option Button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133</xdr:row>
          <xdr:rowOff>28575</xdr:rowOff>
        </xdr:from>
        <xdr:to>
          <xdr:col>13</xdr:col>
          <xdr:colOff>685800</xdr:colOff>
          <xdr:row>134</xdr:row>
          <xdr:rowOff>142875</xdr:rowOff>
        </xdr:to>
        <xdr:sp macro="" textlink="">
          <xdr:nvSpPr>
            <xdr:cNvPr id="1075" name="Option Button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140</xdr:row>
          <xdr:rowOff>28575</xdr:rowOff>
        </xdr:from>
        <xdr:to>
          <xdr:col>12</xdr:col>
          <xdr:colOff>704850</xdr:colOff>
          <xdr:row>141</xdr:row>
          <xdr:rowOff>152400</xdr:rowOff>
        </xdr:to>
        <xdr:sp macro="" textlink="">
          <xdr:nvSpPr>
            <xdr:cNvPr id="1076" name="Option Button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140</xdr:row>
          <xdr:rowOff>28575</xdr:rowOff>
        </xdr:from>
        <xdr:to>
          <xdr:col>13</xdr:col>
          <xdr:colOff>685800</xdr:colOff>
          <xdr:row>141</xdr:row>
          <xdr:rowOff>152400</xdr:rowOff>
        </xdr:to>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200025</xdr:colOff>
          <xdr:row>144</xdr:row>
          <xdr:rowOff>200025</xdr:rowOff>
        </xdr:from>
        <xdr:to>
          <xdr:col>13</xdr:col>
          <xdr:colOff>809625</xdr:colOff>
          <xdr:row>151</xdr:row>
          <xdr:rowOff>28575</xdr:rowOff>
        </xdr:to>
        <xdr:sp macro="" textlink="">
          <xdr:nvSpPr>
            <xdr:cNvPr id="1101" name="Group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147</xdr:row>
          <xdr:rowOff>19050</xdr:rowOff>
        </xdr:from>
        <xdr:to>
          <xdr:col>12</xdr:col>
          <xdr:colOff>714375</xdr:colOff>
          <xdr:row>148</xdr:row>
          <xdr:rowOff>142875</xdr:rowOff>
        </xdr:to>
        <xdr:sp macro="" textlink="">
          <xdr:nvSpPr>
            <xdr:cNvPr id="1102" name="Option Button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257175</xdr:colOff>
          <xdr:row>147</xdr:row>
          <xdr:rowOff>19050</xdr:rowOff>
        </xdr:from>
        <xdr:to>
          <xdr:col>13</xdr:col>
          <xdr:colOff>685800</xdr:colOff>
          <xdr:row>148</xdr:row>
          <xdr:rowOff>142875</xdr:rowOff>
        </xdr:to>
        <xdr:sp macro="" textlink="">
          <xdr:nvSpPr>
            <xdr:cNvPr id="1103" name="Option Button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295275</xdr:colOff>
          <xdr:row>120</xdr:row>
          <xdr:rowOff>133350</xdr:rowOff>
        </xdr:from>
        <xdr:to>
          <xdr:col>12</xdr:col>
          <xdr:colOff>695325</xdr:colOff>
          <xdr:row>122</xdr:row>
          <xdr:rowOff>47625</xdr:rowOff>
        </xdr:to>
        <xdr:sp macro="" textlink="">
          <xdr:nvSpPr>
            <xdr:cNvPr id="1115" name="Option Button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80</xdr:col>
      <xdr:colOff>104775</xdr:colOff>
      <xdr:row>195</xdr:row>
      <xdr:rowOff>85725</xdr:rowOff>
    </xdr:from>
    <xdr:to>
      <xdr:col>81</xdr:col>
      <xdr:colOff>314482</xdr:colOff>
      <xdr:row>200</xdr:row>
      <xdr:rowOff>65255</xdr:rowOff>
    </xdr:to>
    <xdr:pic>
      <xdr:nvPicPr>
        <xdr:cNvPr id="54" name="Bilde 53">
          <a:extLst>
            <a:ext uri="{FF2B5EF4-FFF2-40B4-BE49-F238E27FC236}">
              <a16:creationId xmlns:a16="http://schemas.microsoft.com/office/drawing/2014/main" id="{00000000-0008-0000-0000-000036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8630900" y="27117675"/>
          <a:ext cx="885982" cy="94155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8</xdr:col>
          <xdr:colOff>28575</xdr:colOff>
          <xdr:row>5</xdr:row>
          <xdr:rowOff>9525</xdr:rowOff>
        </xdr:from>
        <xdr:to>
          <xdr:col>10</xdr:col>
          <xdr:colOff>1076325</xdr:colOff>
          <xdr:row>6</xdr:row>
          <xdr:rowOff>9525</xdr:rowOff>
        </xdr:to>
        <xdr:sp macro="" textlink="">
          <xdr:nvSpPr>
            <xdr:cNvPr id="1116" name="Drop Down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16</xdr:col>
      <xdr:colOff>819150</xdr:colOff>
      <xdr:row>1</xdr:row>
      <xdr:rowOff>209550</xdr:rowOff>
    </xdr:from>
    <xdr:to>
      <xdr:col>17</xdr:col>
      <xdr:colOff>1114424</xdr:colOff>
      <xdr:row>2</xdr:row>
      <xdr:rowOff>90496</xdr:rowOff>
    </xdr:to>
    <xdr:pic>
      <xdr:nvPicPr>
        <xdr:cNvPr id="43" name="Bilde 42">
          <a:extLst>
            <a:ext uri="{FF2B5EF4-FFF2-40B4-BE49-F238E27FC236}">
              <a16:creationId xmlns:a16="http://schemas.microsoft.com/office/drawing/2014/main" id="{00000000-0008-0000-0000-00002B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287625" y="400050"/>
          <a:ext cx="1190624" cy="119071"/>
        </a:xfrm>
        <a:prstGeom prst="rect">
          <a:avLst/>
        </a:prstGeom>
      </xdr:spPr>
    </xdr:pic>
    <xdr:clientData/>
  </xdr:twoCellAnchor>
  <xdr:twoCellAnchor editAs="oneCell">
    <xdr:from>
      <xdr:col>14</xdr:col>
      <xdr:colOff>133350</xdr:colOff>
      <xdr:row>7</xdr:row>
      <xdr:rowOff>137122</xdr:rowOff>
    </xdr:from>
    <xdr:to>
      <xdr:col>16</xdr:col>
      <xdr:colOff>646522</xdr:colOff>
      <xdr:row>9</xdr:row>
      <xdr:rowOff>116544</xdr:rowOff>
    </xdr:to>
    <xdr:pic>
      <xdr:nvPicPr>
        <xdr:cNvPr id="45" name="Bilde 44">
          <a:hlinkClick xmlns:r="http://schemas.openxmlformats.org/officeDocument/2006/relationships" r:id="rId3"/>
          <a:extLst>
            <a:ext uri="{FF2B5EF4-FFF2-40B4-BE49-F238E27FC236}">
              <a16:creationId xmlns:a16="http://schemas.microsoft.com/office/drawing/2014/main" id="{00000000-0008-0000-0000-00002D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401550" y="1403947"/>
          <a:ext cx="2570572" cy="436622"/>
        </a:xfrm>
        <a:prstGeom prst="rect">
          <a:avLst/>
        </a:prstGeom>
      </xdr:spPr>
    </xdr:pic>
    <xdr:clientData/>
  </xdr:twoCellAnchor>
  <xdr:twoCellAnchor editAs="oneCell">
    <xdr:from>
      <xdr:col>17</xdr:col>
      <xdr:colOff>204089</xdr:colOff>
      <xdr:row>7</xdr:row>
      <xdr:rowOff>38100</xdr:rowOff>
    </xdr:from>
    <xdr:to>
      <xdr:col>17</xdr:col>
      <xdr:colOff>806379</xdr:colOff>
      <xdr:row>10</xdr:row>
      <xdr:rowOff>98088</xdr:rowOff>
    </xdr:to>
    <xdr:pic>
      <xdr:nvPicPr>
        <xdr:cNvPr id="46" name="Bilde 45">
          <a:hlinkClick xmlns:r="http://schemas.openxmlformats.org/officeDocument/2006/relationships" r:id="rId5"/>
          <a:extLst>
            <a:ext uri="{FF2B5EF4-FFF2-40B4-BE49-F238E27FC236}">
              <a16:creationId xmlns:a16="http://schemas.microsoft.com/office/drawing/2014/main" id="{00000000-0008-0000-0000-00002E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5425039" y="1304925"/>
          <a:ext cx="602290" cy="641013"/>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13</xdr:col>
          <xdr:colOff>247650</xdr:colOff>
          <xdr:row>105</xdr:row>
          <xdr:rowOff>38100</xdr:rowOff>
        </xdr:from>
        <xdr:to>
          <xdr:col>13</xdr:col>
          <xdr:colOff>657225</xdr:colOff>
          <xdr:row>106</xdr:row>
          <xdr:rowOff>152400</xdr:rowOff>
        </xdr:to>
        <xdr:sp macro="" textlink="">
          <xdr:nvSpPr>
            <xdr:cNvPr id="1230" name="Option Button 206" hidden="1">
              <a:extLst>
                <a:ext uri="{63B3BB69-23CF-44E3-9099-C40C66FF867C}">
                  <a14:compatExt spid="_x0000_s1230"/>
                </a:ext>
                <a:ext uri="{FF2B5EF4-FFF2-40B4-BE49-F238E27FC236}">
                  <a16:creationId xmlns:a16="http://schemas.microsoft.com/office/drawing/2014/main" id="{00000000-0008-0000-0000-0000C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Ark1"/>
  <dimension ref="A1:EG295"/>
  <sheetViews>
    <sheetView showRowColHeaders="0" tabSelected="1" topLeftCell="B1" zoomScaleNormal="100" workbookViewId="0">
      <selection activeCell="B296" sqref="B296"/>
    </sheetView>
  </sheetViews>
  <sheetFormatPr baseColWidth="10" defaultRowHeight="15"/>
  <cols>
    <col min="1" max="1" width="5" style="1" hidden="1" customWidth="1"/>
    <col min="2" max="2" width="7.5703125" customWidth="1"/>
    <col min="3" max="3" width="8.5703125" customWidth="1"/>
    <col min="4" max="4" width="17.5703125" customWidth="1"/>
    <col min="5" max="5" width="10.7109375" customWidth="1"/>
    <col min="6" max="6" width="14.5703125" customWidth="1"/>
    <col min="7" max="7" width="26.28515625" customWidth="1"/>
    <col min="8" max="8" width="3.5703125" customWidth="1"/>
    <col min="9" max="9" width="18.42578125" customWidth="1"/>
    <col min="10" max="10" width="17.28515625" customWidth="1"/>
    <col min="11" max="11" width="16.85546875" customWidth="1"/>
    <col min="12" max="12" width="17.42578125" customWidth="1"/>
    <col min="13" max="13" width="13.85546875" customWidth="1"/>
    <col min="14" max="14" width="15.42578125" customWidth="1"/>
    <col min="15" max="15" width="18.140625" customWidth="1"/>
    <col min="16" max="16" width="12.7109375" customWidth="1"/>
    <col min="17" max="17" width="13.42578125" customWidth="1"/>
    <col min="18" max="18" width="17.140625" customWidth="1"/>
    <col min="19" max="19" width="29.85546875" customWidth="1"/>
    <col min="20" max="20" width="14.28515625" style="3" hidden="1" customWidth="1"/>
    <col min="21" max="27" width="11.42578125" style="3" hidden="1" customWidth="1"/>
    <col min="28" max="28" width="8.42578125" style="3" hidden="1" customWidth="1"/>
    <col min="29" max="29" width="11.42578125" style="3" hidden="1" customWidth="1"/>
    <col min="30" max="30" width="13.28515625" style="3" hidden="1" customWidth="1"/>
    <col min="31" max="31" width="16.42578125" style="3" hidden="1" customWidth="1"/>
    <col min="32" max="33" width="7.7109375" style="3" hidden="1" customWidth="1"/>
    <col min="34" max="36" width="9.42578125" style="3" hidden="1" customWidth="1"/>
    <col min="37" max="37" width="9.140625" style="3" hidden="1" customWidth="1"/>
    <col min="38" max="38" width="2.85546875" style="3" hidden="1" customWidth="1"/>
    <col min="39" max="40" width="13.28515625" style="3" hidden="1" customWidth="1"/>
    <col min="41" max="41" width="4.85546875" style="3" hidden="1" customWidth="1"/>
    <col min="42" max="72" width="11.42578125" style="3" hidden="1" customWidth="1"/>
    <col min="73" max="73" width="8.140625" customWidth="1"/>
    <col min="76" max="76" width="14" customWidth="1"/>
    <col min="78" max="78" width="10" customWidth="1"/>
    <col min="79" max="79" width="11.28515625" customWidth="1"/>
    <col min="80" max="80" width="11.5703125" customWidth="1"/>
    <col min="81" max="81" width="10.140625" customWidth="1"/>
  </cols>
  <sheetData>
    <row r="1" spans="1:137" s="15" customFormat="1">
      <c r="A1" s="14"/>
      <c r="B1" s="47"/>
      <c r="C1" s="47"/>
      <c r="D1" s="47"/>
      <c r="E1" s="47"/>
      <c r="F1" s="47"/>
      <c r="G1" s="47"/>
      <c r="H1" s="47"/>
      <c r="I1" s="47"/>
      <c r="J1" s="47"/>
      <c r="K1" s="47"/>
      <c r="L1" s="44"/>
      <c r="M1" s="44"/>
      <c r="N1" s="44"/>
      <c r="O1" s="53"/>
      <c r="P1" s="44"/>
      <c r="Q1" s="44"/>
      <c r="R1" s="204" t="s">
        <v>129</v>
      </c>
      <c r="S1" s="44"/>
      <c r="T1" s="20"/>
      <c r="U1" s="20"/>
      <c r="V1" s="20"/>
      <c r="W1" s="20"/>
      <c r="X1" s="20"/>
      <c r="Y1" s="20"/>
      <c r="Z1" s="20"/>
      <c r="AA1" s="20"/>
      <c r="AB1" s="20"/>
      <c r="AC1" s="20"/>
      <c r="AD1" s="20"/>
      <c r="AE1" s="20"/>
      <c r="AF1" s="20"/>
      <c r="AG1" s="20"/>
      <c r="AH1" s="20"/>
      <c r="AI1" s="20"/>
      <c r="AJ1" s="20"/>
      <c r="AK1" s="20"/>
      <c r="AL1" s="20"/>
      <c r="AM1" s="20"/>
      <c r="AN1" s="20"/>
      <c r="AO1" s="20"/>
      <c r="AP1" s="20"/>
      <c r="AQ1" s="20"/>
      <c r="AR1" s="20"/>
      <c r="AS1" s="20"/>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44"/>
      <c r="BV1" s="44"/>
      <c r="BW1" s="44"/>
      <c r="BX1" s="44"/>
      <c r="BY1" s="44"/>
      <c r="BZ1" s="44"/>
      <c r="CA1" s="44"/>
      <c r="CB1" s="44"/>
      <c r="CC1" s="44"/>
      <c r="CD1" s="44"/>
      <c r="CE1" s="44"/>
      <c r="CF1" s="44"/>
      <c r="CG1" s="44"/>
      <c r="CH1" s="44"/>
      <c r="CI1" s="44"/>
      <c r="CJ1" s="44"/>
      <c r="CK1" s="44"/>
      <c r="CL1" s="44"/>
      <c r="CM1" s="44"/>
      <c r="CN1" s="44"/>
      <c r="CO1" s="44"/>
      <c r="CP1" s="44"/>
      <c r="CQ1" s="44"/>
      <c r="CR1" s="44"/>
      <c r="CS1" s="44"/>
      <c r="CT1" s="44"/>
      <c r="CU1" s="44"/>
      <c r="CV1" s="44"/>
      <c r="CW1" s="44"/>
      <c r="CX1" s="44"/>
      <c r="CY1" s="44"/>
      <c r="CZ1" s="44"/>
      <c r="DA1" s="44"/>
      <c r="DB1" s="44"/>
      <c r="DC1" s="44"/>
      <c r="DD1" s="44"/>
      <c r="DE1" s="44"/>
      <c r="DF1" s="44"/>
      <c r="DG1" s="44"/>
      <c r="DH1" s="44"/>
      <c r="DI1" s="44"/>
      <c r="DJ1" s="44"/>
      <c r="DK1" s="44"/>
      <c r="DL1" s="44"/>
      <c r="DM1" s="44"/>
      <c r="DN1" s="44"/>
      <c r="DO1" s="44"/>
      <c r="DP1" s="44"/>
      <c r="DQ1" s="44"/>
      <c r="DR1" s="44"/>
      <c r="DS1" s="44"/>
      <c r="DT1" s="44"/>
      <c r="DU1" s="44"/>
      <c r="DV1" s="44"/>
      <c r="DW1" s="44"/>
      <c r="DX1" s="44"/>
      <c r="DY1" s="44"/>
      <c r="DZ1" s="44"/>
      <c r="EA1" s="44"/>
      <c r="EB1" s="44"/>
      <c r="EC1" s="44"/>
      <c r="ED1" s="44"/>
      <c r="EE1" s="44"/>
      <c r="EF1" s="44"/>
      <c r="EG1" s="44"/>
    </row>
    <row r="2" spans="1:137" s="15" customFormat="1" ht="18.75">
      <c r="A2" s="14"/>
      <c r="B2" s="48"/>
      <c r="C2" s="49" t="str">
        <f>IF(W49=TRUE,"Egendeklarasjon BREEAM-NOR",IF(R48=2,"Egendeklarasjon BREEAM-NOR – Sjekkliste A 20",IF(AND(V5=2,R48=3),"Egendeklarasjon BREEAM-NOR HEA 9 – Forurensning i innemiljø",IF(AND(V5=3,R48=3),"Egendeklarasjon BREEAM-NOR HEA 02 – Inneluftkvalitet","Egendeklarasjon BREEAM-NOR"))))</f>
        <v>Egendeklarasjon BREEAM-NOR</v>
      </c>
      <c r="D2" s="48"/>
      <c r="E2" s="48"/>
      <c r="F2" s="48"/>
      <c r="G2" s="48"/>
      <c r="H2" s="48"/>
      <c r="I2" s="48"/>
      <c r="J2" s="48"/>
      <c r="K2" s="48"/>
      <c r="L2" s="46"/>
      <c r="M2" s="44"/>
      <c r="N2" s="44"/>
      <c r="O2" s="53"/>
      <c r="P2" s="44"/>
      <c r="Q2" s="44"/>
      <c r="R2" s="205"/>
      <c r="S2" s="44"/>
      <c r="T2" s="20"/>
      <c r="U2" s="20"/>
      <c r="V2" s="20"/>
      <c r="W2" s="20"/>
      <c r="X2" s="20"/>
      <c r="Y2" s="20"/>
      <c r="Z2" s="20"/>
      <c r="AA2" s="52"/>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H2" s="20"/>
      <c r="BI2" s="20"/>
      <c r="BJ2" s="20"/>
      <c r="BK2" s="20"/>
      <c r="BL2" s="20"/>
      <c r="BM2" s="20"/>
      <c r="BN2" s="20"/>
      <c r="BO2" s="20"/>
      <c r="BP2" s="20"/>
      <c r="BQ2" s="20"/>
      <c r="BR2" s="20"/>
      <c r="BS2" s="20"/>
      <c r="BT2" s="20"/>
      <c r="BU2" s="44"/>
      <c r="BV2" s="44"/>
      <c r="BW2" s="44"/>
      <c r="BX2" s="44"/>
      <c r="BY2" s="44"/>
      <c r="BZ2" s="44"/>
      <c r="CA2" s="44"/>
      <c r="CB2" s="44"/>
      <c r="CC2" s="44"/>
      <c r="CD2" s="44"/>
      <c r="CE2" s="44"/>
      <c r="CF2" s="44"/>
      <c r="CG2" s="44"/>
      <c r="CH2" s="44"/>
      <c r="CI2" s="44"/>
      <c r="CJ2" s="44"/>
      <c r="CK2" s="44"/>
      <c r="CL2" s="44"/>
      <c r="CM2" s="44"/>
      <c r="CN2" s="44"/>
      <c r="CO2" s="44"/>
      <c r="CP2" s="44"/>
      <c r="CQ2" s="44"/>
      <c r="CR2" s="44"/>
      <c r="CS2" s="44"/>
      <c r="CT2" s="44"/>
      <c r="CU2" s="44"/>
      <c r="CV2" s="44"/>
      <c r="CW2" s="44"/>
      <c r="CX2" s="44"/>
      <c r="CY2" s="44"/>
      <c r="CZ2" s="44"/>
      <c r="DA2" s="44"/>
      <c r="DB2" s="44"/>
      <c r="DC2" s="44"/>
      <c r="DD2" s="44"/>
      <c r="DE2" s="44"/>
      <c r="DF2" s="44"/>
      <c r="DG2" s="44"/>
      <c r="DH2" s="44"/>
      <c r="DI2" s="44"/>
      <c r="DJ2" s="44"/>
      <c r="DK2" s="44"/>
      <c r="DL2" s="44"/>
      <c r="DM2" s="44"/>
      <c r="DN2" s="44"/>
      <c r="DO2" s="44"/>
      <c r="DP2" s="44"/>
      <c r="DQ2" s="44"/>
      <c r="DR2" s="44"/>
      <c r="DS2" s="44"/>
      <c r="DT2" s="44"/>
      <c r="DU2" s="44"/>
      <c r="DV2" s="44"/>
      <c r="DW2" s="44"/>
      <c r="DX2" s="44"/>
      <c r="DY2" s="44"/>
      <c r="DZ2" s="44"/>
      <c r="EA2" s="44"/>
      <c r="EB2" s="44"/>
      <c r="EC2" s="44"/>
      <c r="ED2" s="44"/>
      <c r="EE2" s="44"/>
      <c r="EF2" s="44"/>
      <c r="EG2" s="44"/>
    </row>
    <row r="3" spans="1:137" s="15" customFormat="1" ht="10.5" customHeight="1">
      <c r="A3" s="14"/>
      <c r="B3" s="47"/>
      <c r="C3" s="47"/>
      <c r="D3" s="47"/>
      <c r="E3" s="47"/>
      <c r="F3" s="47"/>
      <c r="G3" s="47"/>
      <c r="H3" s="47"/>
      <c r="I3" s="47"/>
      <c r="J3" s="47"/>
      <c r="K3" s="47"/>
      <c r="L3" s="44"/>
      <c r="M3" s="44"/>
      <c r="N3" s="44"/>
      <c r="O3" s="44"/>
      <c r="P3" s="44"/>
      <c r="Q3" s="44"/>
      <c r="R3" s="44"/>
      <c r="S3" s="44"/>
      <c r="T3" s="20"/>
      <c r="U3" s="20"/>
      <c r="V3" s="20"/>
      <c r="W3" s="20"/>
      <c r="X3" s="20"/>
      <c r="Y3" s="20"/>
      <c r="Z3" s="20"/>
      <c r="AA3" s="35"/>
      <c r="AB3" s="20"/>
      <c r="AC3" s="20"/>
      <c r="AD3" s="20"/>
      <c r="AE3" s="20"/>
      <c r="AF3" s="20"/>
      <c r="AG3" s="20"/>
      <c r="AH3" s="20"/>
      <c r="AI3" s="20"/>
      <c r="AJ3" s="20"/>
      <c r="AK3" s="20"/>
      <c r="AL3" s="20"/>
      <c r="AM3" s="20"/>
      <c r="AN3" s="20"/>
      <c r="AO3" s="20"/>
      <c r="AP3" s="20"/>
      <c r="AQ3" s="20"/>
      <c r="AR3" s="20"/>
      <c r="AS3" s="20"/>
      <c r="AT3" s="20"/>
      <c r="AU3" s="20"/>
      <c r="AV3" s="20"/>
      <c r="AW3" s="20"/>
      <c r="AX3" s="20"/>
      <c r="AY3" s="20"/>
      <c r="AZ3" s="20"/>
      <c r="BA3" s="20"/>
      <c r="BB3" s="20"/>
      <c r="BC3" s="20"/>
      <c r="BD3" s="20"/>
      <c r="BE3" s="20"/>
      <c r="BF3" s="20"/>
      <c r="BG3" s="20"/>
      <c r="BH3" s="20"/>
      <c r="BI3" s="20"/>
      <c r="BJ3" s="20"/>
      <c r="BK3" s="20"/>
      <c r="BL3" s="20"/>
      <c r="BM3" s="20"/>
      <c r="BN3" s="20"/>
      <c r="BO3" s="20"/>
      <c r="BP3" s="20"/>
      <c r="BQ3" s="20"/>
      <c r="BR3" s="20"/>
      <c r="BS3" s="20"/>
      <c r="BT3" s="20"/>
      <c r="BU3" s="44"/>
      <c r="BV3" s="44"/>
      <c r="BW3" s="44"/>
      <c r="BX3" s="44"/>
      <c r="BY3" s="44"/>
      <c r="BZ3" s="44"/>
      <c r="CA3" s="44"/>
      <c r="CB3" s="44"/>
      <c r="CC3" s="44"/>
      <c r="CD3" s="44"/>
      <c r="CE3" s="44"/>
      <c r="CF3" s="44"/>
      <c r="CG3" s="44"/>
      <c r="CH3" s="44"/>
      <c r="CI3" s="44"/>
      <c r="CJ3" s="44"/>
      <c r="CK3" s="44"/>
      <c r="CL3" s="44"/>
      <c r="CM3" s="44"/>
      <c r="CN3" s="44"/>
      <c r="CO3" s="44"/>
      <c r="CP3" s="44"/>
      <c r="CQ3" s="44"/>
      <c r="CR3" s="44"/>
      <c r="CS3" s="44"/>
      <c r="CT3" s="44"/>
      <c r="CU3" s="44"/>
      <c r="CV3" s="44"/>
      <c r="CW3" s="44"/>
      <c r="CX3" s="44"/>
      <c r="CY3" s="44"/>
      <c r="CZ3" s="44"/>
      <c r="DA3" s="44"/>
      <c r="DB3" s="44"/>
      <c r="DC3" s="44"/>
      <c r="DD3" s="44"/>
      <c r="DE3" s="44"/>
      <c r="DF3" s="44"/>
      <c r="DG3" s="44"/>
      <c r="DH3" s="44"/>
      <c r="DI3" s="44"/>
      <c r="DJ3" s="44"/>
      <c r="DK3" s="44"/>
      <c r="DL3" s="44"/>
      <c r="DM3" s="44"/>
      <c r="DN3" s="44"/>
      <c r="DO3" s="44"/>
      <c r="DP3" s="44"/>
      <c r="DQ3" s="44"/>
      <c r="DR3" s="44"/>
      <c r="DS3" s="44"/>
      <c r="DT3" s="44"/>
      <c r="DU3" s="44"/>
      <c r="DV3" s="44"/>
      <c r="DW3" s="44"/>
      <c r="DX3" s="44"/>
      <c r="DY3" s="44"/>
      <c r="DZ3" s="44"/>
      <c r="EA3" s="44"/>
      <c r="EB3" s="44"/>
      <c r="EC3" s="44"/>
      <c r="ED3" s="44"/>
      <c r="EE3" s="44"/>
      <c r="EF3" s="44"/>
      <c r="EG3" s="44"/>
    </row>
    <row r="4" spans="1:137" ht="9.9499999999999993" customHeight="1">
      <c r="A4" s="14"/>
      <c r="B4" s="39"/>
      <c r="C4" s="44"/>
      <c r="D4" s="44"/>
      <c r="E4" s="44"/>
      <c r="F4" s="44"/>
      <c r="G4" s="44"/>
      <c r="H4" s="44"/>
      <c r="I4" s="44"/>
      <c r="J4" s="44"/>
      <c r="K4" s="44"/>
      <c r="L4" s="39"/>
      <c r="M4" s="44"/>
      <c r="N4" s="44"/>
      <c r="O4" s="44"/>
      <c r="P4" s="44"/>
      <c r="Q4" s="44"/>
      <c r="R4" s="44"/>
      <c r="S4" s="44"/>
      <c r="BU4" s="44"/>
      <c r="BV4" s="44"/>
      <c r="BW4" s="44"/>
      <c r="BX4" s="44"/>
      <c r="BY4" s="44"/>
      <c r="BZ4" s="44"/>
      <c r="CA4" s="44"/>
      <c r="CB4" s="44"/>
      <c r="CC4" s="44"/>
      <c r="CD4" s="44"/>
      <c r="CE4" s="44"/>
      <c r="CF4" s="44"/>
      <c r="CG4" s="44"/>
      <c r="CH4" s="44"/>
      <c r="CI4" s="44"/>
      <c r="CJ4" s="44"/>
      <c r="CK4" s="44"/>
      <c r="CL4" s="44"/>
      <c r="CM4" s="44"/>
      <c r="CN4" s="44"/>
      <c r="CO4" s="44"/>
      <c r="CP4" s="44"/>
      <c r="CQ4" s="44"/>
      <c r="CR4" s="44"/>
      <c r="CS4" s="44"/>
      <c r="CT4" s="44"/>
      <c r="CU4" s="44"/>
      <c r="CV4" s="44"/>
      <c r="CW4" s="44"/>
      <c r="CX4" s="44"/>
      <c r="CY4" s="44"/>
      <c r="CZ4" s="44"/>
      <c r="DA4" s="44"/>
      <c r="DB4" s="44"/>
      <c r="DC4" s="44"/>
      <c r="DD4" s="44"/>
      <c r="DE4" s="44"/>
      <c r="DF4" s="44"/>
      <c r="DG4" s="44"/>
      <c r="DH4" s="44"/>
      <c r="DI4" s="44"/>
      <c r="DJ4" s="44"/>
      <c r="DK4" s="44"/>
      <c r="DL4" s="44"/>
      <c r="DM4" s="44"/>
      <c r="DN4" s="44"/>
      <c r="DO4" s="44"/>
      <c r="DP4" s="44"/>
      <c r="DQ4" s="44"/>
      <c r="DR4" s="44"/>
      <c r="DS4" s="44"/>
      <c r="DT4" s="44"/>
      <c r="DU4" s="44"/>
      <c r="DV4" s="44"/>
      <c r="DW4" s="44"/>
      <c r="DX4" s="44"/>
      <c r="DY4" s="44"/>
      <c r="DZ4" s="44"/>
      <c r="EA4" s="44"/>
      <c r="EB4" s="44"/>
      <c r="EC4" s="44"/>
      <c r="ED4" s="44"/>
      <c r="EE4" s="44"/>
      <c r="EF4" s="44"/>
      <c r="EG4" s="44"/>
    </row>
    <row r="5" spans="1:137" ht="15.75" thickBot="1">
      <c r="A5" s="14"/>
      <c r="B5" s="39"/>
      <c r="C5" s="51" t="s">
        <v>25</v>
      </c>
      <c r="D5" s="50"/>
      <c r="E5" s="44"/>
      <c r="F5" s="44"/>
      <c r="G5" s="44"/>
      <c r="H5" s="44"/>
      <c r="I5" s="51" t="s">
        <v>85</v>
      </c>
      <c r="J5" s="45"/>
      <c r="K5" s="45"/>
      <c r="L5" s="45"/>
      <c r="M5" s="45"/>
      <c r="N5" s="44"/>
      <c r="O5" s="44"/>
      <c r="P5" s="44"/>
      <c r="Q5" s="44"/>
      <c r="R5" s="44"/>
      <c r="S5" s="44"/>
      <c r="V5" s="12">
        <v>1</v>
      </c>
      <c r="W5" s="2"/>
      <c r="X5" s="38" t="s">
        <v>86</v>
      </c>
      <c r="BU5" s="44"/>
      <c r="BV5" s="44"/>
      <c r="BW5" s="44"/>
      <c r="BX5" s="44"/>
      <c r="BY5" s="44"/>
      <c r="BZ5" s="44"/>
      <c r="CA5" s="44"/>
      <c r="CB5" s="44"/>
      <c r="CC5" s="44"/>
      <c r="CD5" s="44"/>
      <c r="CE5" s="44"/>
      <c r="CF5" s="44"/>
      <c r="CG5" s="44"/>
      <c r="CH5" s="44"/>
      <c r="CI5" s="44"/>
      <c r="CJ5" s="44"/>
      <c r="CK5" s="44"/>
      <c r="CL5" s="44"/>
      <c r="CM5" s="44"/>
      <c r="CN5" s="44"/>
      <c r="CO5" s="44"/>
      <c r="CP5" s="44"/>
      <c r="CQ5" s="44"/>
      <c r="CR5" s="44"/>
      <c r="CS5" s="44"/>
      <c r="CT5" s="44"/>
      <c r="CU5" s="44"/>
      <c r="CV5" s="44"/>
      <c r="CW5" s="44"/>
      <c r="CX5" s="44"/>
      <c r="CY5" s="44"/>
      <c r="CZ5" s="44"/>
      <c r="DA5" s="44"/>
      <c r="DB5" s="44"/>
      <c r="DC5" s="44"/>
      <c r="DD5" s="44"/>
      <c r="DE5" s="44"/>
      <c r="DF5" s="44"/>
      <c r="DG5" s="44"/>
      <c r="DH5" s="44"/>
      <c r="DI5" s="44"/>
      <c r="DJ5" s="44"/>
      <c r="DK5" s="44"/>
      <c r="DL5" s="44"/>
      <c r="DM5" s="44"/>
      <c r="DN5" s="44"/>
      <c r="DO5" s="44"/>
      <c r="DP5" s="44"/>
      <c r="DQ5" s="44"/>
      <c r="DR5" s="44"/>
      <c r="DS5" s="44"/>
      <c r="DT5" s="44"/>
      <c r="DU5" s="44"/>
      <c r="DV5" s="44"/>
      <c r="DW5" s="44"/>
      <c r="DX5" s="44"/>
      <c r="DY5" s="44"/>
      <c r="DZ5" s="44"/>
      <c r="EA5" s="44"/>
      <c r="EB5" s="44"/>
      <c r="EC5" s="44"/>
      <c r="ED5" s="44"/>
      <c r="EE5" s="44"/>
      <c r="EF5" s="44"/>
      <c r="EG5" s="44"/>
    </row>
    <row r="6" spans="1:137" ht="20.25" customHeight="1" thickBot="1">
      <c r="A6" s="14"/>
      <c r="B6" s="44"/>
      <c r="C6" s="158"/>
      <c r="D6" s="159"/>
      <c r="E6" s="159"/>
      <c r="F6" s="160"/>
      <c r="G6" s="44"/>
      <c r="H6" s="45"/>
      <c r="I6" s="45"/>
      <c r="J6" s="45"/>
      <c r="K6" s="45"/>
      <c r="L6" s="45"/>
      <c r="M6" s="45"/>
      <c r="N6" s="45"/>
      <c r="O6" s="226"/>
      <c r="P6" s="186"/>
      <c r="Q6" s="186"/>
      <c r="R6" s="227"/>
      <c r="S6" s="44"/>
      <c r="V6" s="2">
        <v>1</v>
      </c>
      <c r="W6" s="13" t="s">
        <v>0</v>
      </c>
      <c r="BU6" s="44"/>
      <c r="BV6" s="44"/>
      <c r="BW6" s="44"/>
      <c r="BX6" s="44"/>
      <c r="BY6" s="44"/>
      <c r="BZ6" s="44"/>
      <c r="CA6" s="44"/>
      <c r="CB6" s="44"/>
      <c r="CC6" s="44"/>
      <c r="CD6" s="44"/>
      <c r="CE6" s="44"/>
      <c r="CF6" s="44"/>
      <c r="CG6" s="44"/>
      <c r="CH6" s="44"/>
      <c r="CI6" s="44"/>
      <c r="CJ6" s="44"/>
      <c r="CK6" s="44"/>
      <c r="CL6" s="44"/>
      <c r="CM6" s="44"/>
      <c r="CN6" s="44"/>
      <c r="CO6" s="44"/>
      <c r="CP6" s="44"/>
      <c r="CQ6" s="44"/>
      <c r="CR6" s="44"/>
      <c r="CS6" s="44"/>
      <c r="CT6" s="44"/>
      <c r="CU6" s="44"/>
      <c r="CV6" s="44"/>
      <c r="CW6" s="44"/>
      <c r="CX6" s="44"/>
      <c r="CY6" s="44"/>
      <c r="CZ6" s="44"/>
      <c r="DA6" s="44"/>
      <c r="DB6" s="44"/>
      <c r="DC6" s="44"/>
      <c r="DD6" s="44"/>
      <c r="DE6" s="44"/>
      <c r="DF6" s="44"/>
      <c r="DG6" s="44"/>
      <c r="DH6" s="44"/>
      <c r="DI6" s="44"/>
      <c r="DJ6" s="44"/>
      <c r="DK6" s="44"/>
      <c r="DL6" s="44"/>
      <c r="DM6" s="44"/>
      <c r="DN6" s="44"/>
      <c r="DO6" s="44"/>
      <c r="DP6" s="44"/>
      <c r="DQ6" s="44"/>
      <c r="DR6" s="44"/>
      <c r="DS6" s="44"/>
      <c r="DT6" s="44"/>
      <c r="DU6" s="44"/>
      <c r="DV6" s="44"/>
      <c r="DW6" s="44"/>
      <c r="DX6" s="44"/>
      <c r="DY6" s="44"/>
      <c r="DZ6" s="44"/>
      <c r="EA6" s="44"/>
      <c r="EB6" s="44"/>
      <c r="EC6" s="44"/>
      <c r="ED6" s="44"/>
      <c r="EE6" s="44"/>
      <c r="EF6" s="44"/>
      <c r="EG6" s="44"/>
    </row>
    <row r="7" spans="1:137" ht="9.9499999999999993" customHeight="1">
      <c r="A7" s="14"/>
      <c r="B7" s="44"/>
      <c r="C7" s="44"/>
      <c r="D7" s="54"/>
      <c r="E7" s="54"/>
      <c r="F7" s="54"/>
      <c r="G7" s="44"/>
      <c r="H7" s="45"/>
      <c r="I7" s="45"/>
      <c r="J7" s="45"/>
      <c r="K7" s="45"/>
      <c r="L7" s="45"/>
      <c r="M7" s="45"/>
      <c r="N7" s="45"/>
      <c r="O7" s="226"/>
      <c r="P7" s="186"/>
      <c r="Q7" s="186"/>
      <c r="R7" s="227"/>
      <c r="S7" s="44"/>
      <c r="V7" s="2">
        <v>2</v>
      </c>
      <c r="W7" s="2" t="s">
        <v>83</v>
      </c>
      <c r="BU7" s="44"/>
      <c r="BV7" s="44"/>
      <c r="BW7" s="44"/>
      <c r="BX7" s="44"/>
      <c r="BY7" s="44"/>
      <c r="BZ7" s="44"/>
      <c r="CA7" s="44"/>
      <c r="CB7" s="44"/>
      <c r="CC7" s="44"/>
      <c r="CD7" s="44"/>
      <c r="CE7" s="44"/>
      <c r="CF7" s="44"/>
      <c r="CG7" s="44"/>
      <c r="CH7" s="44"/>
      <c r="CI7" s="44"/>
      <c r="CJ7" s="44"/>
      <c r="CK7" s="44"/>
      <c r="CL7" s="44"/>
      <c r="CM7" s="44"/>
      <c r="CN7" s="44"/>
      <c r="CO7" s="44"/>
      <c r="CP7" s="44"/>
      <c r="CQ7" s="44"/>
      <c r="CR7" s="44"/>
      <c r="CS7" s="44"/>
      <c r="CT7" s="44"/>
      <c r="CU7" s="44"/>
      <c r="CV7" s="44"/>
      <c r="CW7" s="44"/>
      <c r="CX7" s="44"/>
      <c r="CY7" s="44"/>
      <c r="CZ7" s="44"/>
      <c r="DA7" s="44"/>
      <c r="DB7" s="44"/>
      <c r="DC7" s="44"/>
      <c r="DD7" s="44"/>
      <c r="DE7" s="44"/>
      <c r="DF7" s="44"/>
      <c r="DG7" s="44"/>
      <c r="DH7" s="44"/>
      <c r="DI7" s="44"/>
      <c r="DJ7" s="44"/>
      <c r="DK7" s="44"/>
      <c r="DL7" s="44"/>
      <c r="DM7" s="44"/>
      <c r="DN7" s="44"/>
      <c r="DO7" s="44"/>
      <c r="DP7" s="44"/>
      <c r="DQ7" s="44"/>
      <c r="DR7" s="44"/>
      <c r="DS7" s="44"/>
      <c r="DT7" s="44"/>
      <c r="DU7" s="44"/>
      <c r="DV7" s="44"/>
      <c r="DW7" s="44"/>
      <c r="DX7" s="44"/>
      <c r="DY7" s="44"/>
      <c r="DZ7" s="44"/>
      <c r="EA7" s="44"/>
      <c r="EB7" s="44"/>
      <c r="EC7" s="44"/>
      <c r="ED7" s="44"/>
      <c r="EE7" s="44"/>
      <c r="EF7" s="44"/>
      <c r="EG7" s="44"/>
    </row>
    <row r="8" spans="1:137" ht="15.75" thickBot="1">
      <c r="A8" s="14"/>
      <c r="B8" s="44"/>
      <c r="C8" s="51" t="s">
        <v>14</v>
      </c>
      <c r="D8" s="44"/>
      <c r="E8" s="44"/>
      <c r="F8" s="44"/>
      <c r="G8" s="44"/>
      <c r="H8" s="45"/>
      <c r="I8" s="51" t="s">
        <v>46</v>
      </c>
      <c r="J8" s="45"/>
      <c r="K8" s="45"/>
      <c r="L8" s="45"/>
      <c r="M8" s="45"/>
      <c r="N8" s="45"/>
      <c r="O8" s="226"/>
      <c r="P8" s="186"/>
      <c r="Q8" s="186"/>
      <c r="R8" s="227"/>
      <c r="S8" s="44"/>
      <c r="V8" s="2">
        <v>3</v>
      </c>
      <c r="W8" s="2" t="s">
        <v>84</v>
      </c>
      <c r="AD8" s="3" t="s">
        <v>87</v>
      </c>
      <c r="AE8" s="3">
        <v>2012</v>
      </c>
      <c r="BU8" s="44"/>
      <c r="BV8" s="44"/>
      <c r="BW8" s="44"/>
      <c r="BX8" s="44"/>
      <c r="BY8" s="44"/>
      <c r="BZ8" s="44"/>
      <c r="CA8" s="44"/>
      <c r="CB8" s="44"/>
      <c r="CC8" s="44"/>
      <c r="CD8" s="44"/>
      <c r="CE8" s="44"/>
      <c r="CF8" s="44"/>
      <c r="CG8" s="44"/>
      <c r="CH8" s="44"/>
      <c r="CI8" s="44"/>
      <c r="CJ8" s="44"/>
      <c r="CK8" s="44"/>
      <c r="CL8" s="44"/>
      <c r="CM8" s="44"/>
      <c r="CN8" s="44"/>
      <c r="CO8" s="44"/>
      <c r="CP8" s="44"/>
      <c r="CQ8" s="44"/>
      <c r="CR8" s="44"/>
      <c r="CS8" s="44"/>
      <c r="CT8" s="44"/>
      <c r="CU8" s="44"/>
      <c r="CV8" s="44"/>
      <c r="CW8" s="44"/>
      <c r="CX8" s="44"/>
      <c r="CY8" s="44"/>
      <c r="CZ8" s="44"/>
      <c r="DA8" s="44"/>
      <c r="DB8" s="44"/>
      <c r="DC8" s="44"/>
      <c r="DD8" s="44"/>
      <c r="DE8" s="44"/>
      <c r="DF8" s="44"/>
      <c r="DG8" s="44"/>
      <c r="DH8" s="44"/>
      <c r="DI8" s="44"/>
      <c r="DJ8" s="44"/>
      <c r="DK8" s="44"/>
      <c r="DL8" s="44"/>
      <c r="DM8" s="44"/>
      <c r="DN8" s="44"/>
      <c r="DO8" s="44"/>
      <c r="DP8" s="44"/>
      <c r="DQ8" s="44"/>
      <c r="DR8" s="44"/>
      <c r="DS8" s="44"/>
      <c r="DT8" s="44"/>
      <c r="DU8" s="44"/>
      <c r="DV8" s="44"/>
      <c r="DW8" s="44"/>
      <c r="DX8" s="44"/>
      <c r="DY8" s="44"/>
      <c r="DZ8" s="44"/>
      <c r="EA8" s="44"/>
      <c r="EB8" s="44"/>
      <c r="EC8" s="44"/>
      <c r="ED8" s="44"/>
      <c r="EE8" s="44"/>
      <c r="EF8" s="44"/>
      <c r="EG8" s="44"/>
    </row>
    <row r="9" spans="1:137" ht="20.25" customHeight="1" thickBot="1">
      <c r="A9" s="14"/>
      <c r="B9" s="44"/>
      <c r="C9" s="158"/>
      <c r="D9" s="159"/>
      <c r="E9" s="159"/>
      <c r="F9" s="160"/>
      <c r="G9" s="44"/>
      <c r="H9" s="45"/>
      <c r="I9" s="45"/>
      <c r="J9" s="45"/>
      <c r="K9" s="45"/>
      <c r="L9" s="45"/>
      <c r="M9" s="45"/>
      <c r="N9" s="45"/>
      <c r="O9" s="226"/>
      <c r="P9" s="186"/>
      <c r="Q9" s="186"/>
      <c r="R9" s="227"/>
      <c r="S9" s="44"/>
      <c r="AD9" s="3" t="s">
        <v>88</v>
      </c>
      <c r="AQ9" s="38"/>
      <c r="AR9" s="38"/>
      <c r="BU9" s="44"/>
      <c r="BV9" s="44"/>
      <c r="BW9" s="44"/>
      <c r="BX9" s="44"/>
      <c r="BY9" s="44"/>
      <c r="BZ9" s="44"/>
      <c r="CA9" s="44"/>
      <c r="CB9" s="44"/>
      <c r="CC9" s="44"/>
      <c r="CD9" s="44"/>
      <c r="CE9" s="44"/>
      <c r="CF9" s="44"/>
      <c r="CG9" s="44"/>
      <c r="CH9" s="44"/>
      <c r="CI9" s="44"/>
      <c r="CJ9" s="44"/>
      <c r="CK9" s="44"/>
      <c r="CL9" s="44"/>
      <c r="CM9" s="44"/>
      <c r="CN9" s="44"/>
      <c r="CO9" s="44"/>
      <c r="CP9" s="44"/>
      <c r="CQ9" s="44"/>
      <c r="CR9" s="44"/>
      <c r="CS9" s="44"/>
      <c r="CT9" s="44"/>
      <c r="CU9" s="44"/>
      <c r="CV9" s="44"/>
      <c r="CW9" s="44"/>
      <c r="CX9" s="44"/>
      <c r="CY9" s="44"/>
      <c r="CZ9" s="44"/>
      <c r="DA9" s="44"/>
      <c r="DB9" s="44"/>
      <c r="DC9" s="44"/>
      <c r="DD9" s="44"/>
      <c r="DE9" s="44"/>
      <c r="DF9" s="44"/>
      <c r="DG9" s="44"/>
      <c r="DH9" s="44"/>
      <c r="DI9" s="44"/>
      <c r="DJ9" s="44"/>
      <c r="DK9" s="44"/>
      <c r="DL9" s="44"/>
      <c r="DM9" s="44"/>
      <c r="DN9" s="44"/>
      <c r="DO9" s="44"/>
      <c r="DP9" s="44"/>
      <c r="DQ9" s="44"/>
      <c r="DR9" s="44"/>
      <c r="DS9" s="44"/>
      <c r="DT9" s="44"/>
      <c r="DU9" s="44"/>
      <c r="DV9" s="44"/>
      <c r="DW9" s="44"/>
      <c r="DX9" s="44"/>
      <c r="DY9" s="44"/>
      <c r="DZ9" s="44"/>
      <c r="EA9" s="44"/>
      <c r="EB9" s="44"/>
      <c r="EC9" s="44"/>
      <c r="ED9" s="44"/>
      <c r="EE9" s="44"/>
      <c r="EF9" s="44"/>
      <c r="EG9" s="44"/>
    </row>
    <row r="10" spans="1:137" ht="9.9499999999999993" customHeight="1">
      <c r="A10" s="14"/>
      <c r="B10" s="44"/>
      <c r="C10" s="44"/>
      <c r="D10" s="44"/>
      <c r="E10" s="44"/>
      <c r="F10" s="44"/>
      <c r="G10" s="44"/>
      <c r="H10" s="45"/>
      <c r="I10" s="45"/>
      <c r="J10" s="45"/>
      <c r="K10" s="45"/>
      <c r="L10" s="45"/>
      <c r="M10" s="45"/>
      <c r="N10" s="45"/>
      <c r="O10" s="226"/>
      <c r="P10" s="186"/>
      <c r="Q10" s="186"/>
      <c r="R10" s="227"/>
      <c r="S10" s="44"/>
      <c r="AQ10" s="38"/>
      <c r="AR10" s="38"/>
      <c r="BU10" s="44"/>
      <c r="BV10" s="44"/>
      <c r="BW10" s="44"/>
      <c r="BX10" s="44"/>
      <c r="BY10" s="44"/>
      <c r="BZ10" s="44"/>
      <c r="CA10" s="44"/>
      <c r="CB10" s="44"/>
      <c r="CC10" s="44"/>
      <c r="CD10" s="44"/>
      <c r="CE10" s="44"/>
      <c r="CF10" s="44"/>
      <c r="CG10" s="44"/>
      <c r="CH10" s="44"/>
      <c r="CI10" s="44"/>
      <c r="CJ10" s="44"/>
      <c r="CK10" s="44"/>
      <c r="CL10" s="44"/>
      <c r="CM10" s="44"/>
      <c r="CN10" s="44"/>
      <c r="CO10" s="44"/>
      <c r="CP10" s="44"/>
      <c r="CQ10" s="44"/>
      <c r="CR10" s="44"/>
      <c r="CS10" s="44"/>
      <c r="CT10" s="44"/>
      <c r="CU10" s="44"/>
      <c r="CV10" s="44"/>
      <c r="CW10" s="44"/>
      <c r="CX10" s="44"/>
      <c r="CY10" s="44"/>
      <c r="CZ10" s="44"/>
      <c r="DA10" s="44"/>
      <c r="DB10" s="44"/>
      <c r="DC10" s="44"/>
      <c r="DD10" s="44"/>
      <c r="DE10" s="44"/>
      <c r="DF10" s="44"/>
      <c r="DG10" s="44"/>
      <c r="DH10" s="44"/>
      <c r="DI10" s="44"/>
      <c r="DJ10" s="44"/>
      <c r="DK10" s="44"/>
      <c r="DL10" s="44"/>
      <c r="DM10" s="44"/>
      <c r="DN10" s="44"/>
      <c r="DO10" s="44"/>
      <c r="DP10" s="44"/>
      <c r="DQ10" s="44"/>
      <c r="DR10" s="44"/>
      <c r="DS10" s="44"/>
      <c r="DT10" s="44"/>
      <c r="DU10" s="44"/>
      <c r="DV10" s="44"/>
      <c r="DW10" s="44"/>
      <c r="DX10" s="44"/>
      <c r="DY10" s="44"/>
      <c r="DZ10" s="44"/>
      <c r="EA10" s="44"/>
      <c r="EB10" s="44"/>
      <c r="EC10" s="44"/>
      <c r="ED10" s="44"/>
      <c r="EE10" s="44"/>
      <c r="EF10" s="44"/>
      <c r="EG10" s="44"/>
    </row>
    <row r="11" spans="1:137" ht="15" customHeight="1" thickBot="1">
      <c r="A11" s="14"/>
      <c r="B11" s="44"/>
      <c r="C11" s="51" t="s">
        <v>15</v>
      </c>
      <c r="D11" s="44"/>
      <c r="E11" s="44"/>
      <c r="F11" s="44"/>
      <c r="G11" s="44"/>
      <c r="H11" s="45"/>
      <c r="I11" s="51" t="s">
        <v>17</v>
      </c>
      <c r="J11" s="45"/>
      <c r="K11" s="45"/>
      <c r="L11" s="45"/>
      <c r="M11" s="45"/>
      <c r="N11" s="45"/>
      <c r="O11" s="226"/>
      <c r="P11" s="186"/>
      <c r="Q11" s="186"/>
      <c r="R11" s="227"/>
      <c r="S11" s="44"/>
      <c r="X11" s="3" t="b">
        <f>IF(W6="- Velg -",TRUE,FALSE)</f>
        <v>1</v>
      </c>
      <c r="AQ11" s="38"/>
      <c r="AR11" s="38"/>
      <c r="BU11" s="44"/>
      <c r="BV11" s="44"/>
      <c r="BW11" s="44"/>
      <c r="BX11" s="44"/>
      <c r="BY11" s="44"/>
      <c r="BZ11" s="44"/>
      <c r="CA11" s="44"/>
      <c r="CB11" s="44"/>
      <c r="CC11" s="44"/>
      <c r="CD11" s="44"/>
      <c r="CE11" s="44"/>
      <c r="CF11" s="44"/>
      <c r="CG11" s="44"/>
      <c r="CH11" s="44"/>
      <c r="CI11" s="44"/>
      <c r="CJ11" s="44"/>
      <c r="CK11" s="44"/>
      <c r="CL11" s="44"/>
      <c r="CM11" s="44"/>
      <c r="CN11" s="44"/>
      <c r="CO11" s="44"/>
      <c r="CP11" s="44"/>
      <c r="CQ11" s="44"/>
      <c r="CR11" s="44"/>
      <c r="CS11" s="44"/>
      <c r="CT11" s="44"/>
      <c r="CU11" s="44"/>
      <c r="CV11" s="44"/>
      <c r="CW11" s="44"/>
      <c r="CX11" s="44"/>
      <c r="CY11" s="44"/>
      <c r="CZ11" s="44"/>
      <c r="DA11" s="44"/>
      <c r="DB11" s="44"/>
      <c r="DC11" s="44"/>
      <c r="DD11" s="44"/>
      <c r="DE11" s="44"/>
      <c r="DF11" s="44"/>
      <c r="DG11" s="44"/>
      <c r="DH11" s="44"/>
      <c r="DI11" s="44"/>
      <c r="DJ11" s="44"/>
      <c r="DK11" s="44"/>
      <c r="DL11" s="44"/>
      <c r="DM11" s="44"/>
      <c r="DN11" s="44"/>
      <c r="DO11" s="44"/>
      <c r="DP11" s="44"/>
      <c r="DQ11" s="44"/>
      <c r="DR11" s="44"/>
      <c r="DS11" s="44"/>
      <c r="DT11" s="44"/>
      <c r="DU11" s="44"/>
      <c r="DV11" s="44"/>
      <c r="DW11" s="44"/>
      <c r="DX11" s="44"/>
      <c r="DY11" s="44"/>
      <c r="DZ11" s="44"/>
      <c r="EA11" s="44"/>
      <c r="EB11" s="44"/>
      <c r="EC11" s="44"/>
      <c r="ED11" s="44"/>
      <c r="EE11" s="44"/>
      <c r="EF11" s="44"/>
      <c r="EG11" s="44"/>
    </row>
    <row r="12" spans="1:137" ht="20.25" customHeight="1" thickBot="1">
      <c r="A12" s="14"/>
      <c r="B12" s="44"/>
      <c r="C12" s="158"/>
      <c r="D12" s="159"/>
      <c r="E12" s="159"/>
      <c r="F12" s="160"/>
      <c r="G12" s="44"/>
      <c r="H12" s="45"/>
      <c r="I12" s="45"/>
      <c r="J12" s="45"/>
      <c r="K12" s="45"/>
      <c r="L12" s="45"/>
      <c r="M12" s="45"/>
      <c r="N12" s="45"/>
      <c r="O12" s="226"/>
      <c r="P12" s="186"/>
      <c r="Q12" s="186"/>
      <c r="R12" s="227"/>
      <c r="S12" s="44"/>
      <c r="AQ12" s="38"/>
      <c r="AR12" s="38"/>
      <c r="BU12" s="44"/>
      <c r="BV12" s="44"/>
      <c r="BW12" s="44"/>
      <c r="BX12" s="44"/>
      <c r="BY12" s="44"/>
      <c r="BZ12" s="44"/>
      <c r="CA12" s="44"/>
      <c r="CB12" s="44"/>
      <c r="CC12" s="44"/>
      <c r="CD12" s="44"/>
      <c r="CE12" s="44"/>
      <c r="CF12" s="44"/>
      <c r="CG12" s="44"/>
      <c r="CH12" s="44"/>
      <c r="CI12" s="44"/>
      <c r="CJ12" s="44"/>
      <c r="CK12" s="44"/>
      <c r="CL12" s="44"/>
      <c r="CM12" s="44"/>
      <c r="CN12" s="44"/>
      <c r="CO12" s="44"/>
      <c r="CP12" s="44"/>
      <c r="CQ12" s="44"/>
      <c r="CR12" s="44"/>
      <c r="CS12" s="44"/>
      <c r="CT12" s="44"/>
      <c r="CU12" s="44"/>
      <c r="CV12" s="44"/>
      <c r="CW12" s="44"/>
      <c r="CX12" s="44"/>
      <c r="CY12" s="44"/>
      <c r="CZ12" s="44"/>
      <c r="DA12" s="44"/>
      <c r="DB12" s="44"/>
      <c r="DC12" s="44"/>
      <c r="DD12" s="44"/>
      <c r="DE12" s="44"/>
      <c r="DF12" s="44"/>
      <c r="DG12" s="44"/>
      <c r="DH12" s="44"/>
      <c r="DI12" s="44"/>
      <c r="DJ12" s="44"/>
      <c r="DK12" s="44"/>
      <c r="DL12" s="44"/>
      <c r="DM12" s="44"/>
      <c r="DN12" s="44"/>
      <c r="DO12" s="44"/>
      <c r="DP12" s="44"/>
      <c r="DQ12" s="44"/>
      <c r="DR12" s="44"/>
      <c r="DS12" s="44"/>
      <c r="DT12" s="44"/>
      <c r="DU12" s="44"/>
      <c r="DV12" s="44"/>
      <c r="DW12" s="44"/>
      <c r="DX12" s="44"/>
      <c r="DY12" s="44"/>
      <c r="DZ12" s="44"/>
      <c r="EA12" s="44"/>
      <c r="EB12" s="44"/>
      <c r="EC12" s="44"/>
      <c r="ED12" s="44"/>
      <c r="EE12" s="44"/>
      <c r="EF12" s="44"/>
      <c r="EG12" s="44"/>
    </row>
    <row r="13" spans="1:137" ht="9.9499999999999993" customHeight="1" thickBot="1">
      <c r="A13" s="14"/>
      <c r="B13" s="44"/>
      <c r="C13" s="44"/>
      <c r="D13" s="44"/>
      <c r="E13" s="44"/>
      <c r="F13" s="44"/>
      <c r="G13" s="44"/>
      <c r="H13" s="45"/>
      <c r="I13" s="45"/>
      <c r="J13" s="45"/>
      <c r="K13" s="45"/>
      <c r="L13" s="45"/>
      <c r="M13" s="45"/>
      <c r="N13" s="45"/>
      <c r="O13" s="228"/>
      <c r="P13" s="229"/>
      <c r="Q13" s="229"/>
      <c r="R13" s="230"/>
      <c r="S13" s="44"/>
      <c r="BU13" s="44"/>
      <c r="BV13" s="44"/>
      <c r="BW13" s="44"/>
      <c r="BX13" s="44"/>
      <c r="BY13" s="44"/>
      <c r="BZ13" s="44"/>
      <c r="CA13" s="44"/>
      <c r="CB13" s="44"/>
      <c r="CC13" s="44"/>
      <c r="CD13" s="44"/>
      <c r="CE13" s="44"/>
      <c r="CF13" s="44"/>
      <c r="CG13" s="44"/>
      <c r="CH13" s="44"/>
      <c r="CI13" s="44"/>
      <c r="CJ13" s="44"/>
      <c r="CK13" s="44"/>
      <c r="CL13" s="44"/>
      <c r="CM13" s="44"/>
      <c r="CN13" s="44"/>
      <c r="CO13" s="44"/>
      <c r="CP13" s="44"/>
      <c r="CQ13" s="44"/>
      <c r="CR13" s="44"/>
      <c r="CS13" s="44"/>
      <c r="CT13" s="44"/>
      <c r="CU13" s="44"/>
      <c r="CV13" s="44"/>
      <c r="CW13" s="44"/>
      <c r="CX13" s="44"/>
      <c r="CY13" s="44"/>
      <c r="CZ13" s="44"/>
      <c r="DA13" s="44"/>
      <c r="DB13" s="44"/>
      <c r="DC13" s="44"/>
      <c r="DD13" s="44"/>
      <c r="DE13" s="44"/>
      <c r="DF13" s="44"/>
      <c r="DG13" s="44"/>
      <c r="DH13" s="44"/>
      <c r="DI13" s="44"/>
      <c r="DJ13" s="44"/>
      <c r="DK13" s="44"/>
      <c r="DL13" s="44"/>
      <c r="DM13" s="44"/>
      <c r="DN13" s="44"/>
      <c r="DO13" s="44"/>
      <c r="DP13" s="44"/>
      <c r="DQ13" s="44"/>
      <c r="DR13" s="44"/>
      <c r="DS13" s="44"/>
      <c r="DT13" s="44"/>
      <c r="DU13" s="44"/>
      <c r="DV13" s="44"/>
      <c r="DW13" s="44"/>
      <c r="DX13" s="44"/>
      <c r="DY13" s="44"/>
      <c r="DZ13" s="44"/>
      <c r="EA13" s="44"/>
      <c r="EB13" s="44"/>
      <c r="EC13" s="44"/>
      <c r="ED13" s="44"/>
      <c r="EE13" s="44"/>
      <c r="EF13" s="44"/>
      <c r="EG13" s="44"/>
    </row>
    <row r="14" spans="1:137" ht="15" customHeight="1">
      <c r="A14" s="14"/>
      <c r="B14" s="44"/>
      <c r="C14" s="223" t="str">
        <f>IF(V5=1,"",IF(AND(V5=2,R48=3),AB49,IF(AND(V5=3,R48=3),AB49,IF(AND(V5=3,R48=2),AB55,IF(AND(V5=2,R48=2),AB55,"")))))</f>
        <v/>
      </c>
      <c r="D14" s="223"/>
      <c r="E14" s="223"/>
      <c r="F14" s="223"/>
      <c r="G14" s="223"/>
      <c r="H14" s="45"/>
      <c r="I14" s="51" t="s">
        <v>10</v>
      </c>
      <c r="J14" s="45"/>
      <c r="K14" s="45"/>
      <c r="L14" s="45"/>
      <c r="M14" s="45"/>
      <c r="N14" s="45"/>
      <c r="O14" s="126"/>
      <c r="P14" s="126"/>
      <c r="Q14" s="126"/>
      <c r="R14" s="126"/>
      <c r="S14" s="44"/>
      <c r="U14" s="40" t="s">
        <v>89</v>
      </c>
      <c r="BU14" s="44"/>
      <c r="BV14" s="44"/>
      <c r="BW14" s="44"/>
      <c r="BX14" s="44"/>
      <c r="BY14" s="44"/>
      <c r="BZ14" s="44"/>
      <c r="CA14" s="44"/>
      <c r="CB14" s="44"/>
      <c r="CC14" s="44"/>
      <c r="CD14" s="44"/>
      <c r="CE14" s="44"/>
      <c r="CF14" s="44"/>
      <c r="CG14" s="44"/>
      <c r="CH14" s="44"/>
      <c r="CI14" s="44"/>
      <c r="CJ14" s="44"/>
      <c r="CK14" s="44"/>
      <c r="CL14" s="44"/>
      <c r="CM14" s="44"/>
      <c r="CN14" s="44"/>
      <c r="CO14" s="44"/>
      <c r="CP14" s="44"/>
      <c r="CQ14" s="44"/>
      <c r="CR14" s="44"/>
      <c r="CS14" s="44"/>
      <c r="CT14" s="44"/>
      <c r="CU14" s="44"/>
      <c r="CV14" s="44"/>
      <c r="CW14" s="44"/>
      <c r="CX14" s="44"/>
      <c r="CY14" s="44"/>
      <c r="CZ14" s="44"/>
      <c r="DA14" s="44"/>
      <c r="DB14" s="44"/>
      <c r="DC14" s="44"/>
      <c r="DD14" s="44"/>
      <c r="DE14" s="44"/>
      <c r="DF14" s="44"/>
      <c r="DG14" s="44"/>
      <c r="DH14" s="44"/>
      <c r="DI14" s="44"/>
      <c r="DJ14" s="44"/>
      <c r="DK14" s="44"/>
      <c r="DL14" s="44"/>
      <c r="DM14" s="44"/>
      <c r="DN14" s="44"/>
      <c r="DO14" s="44"/>
      <c r="DP14" s="44"/>
      <c r="DQ14" s="44"/>
      <c r="DR14" s="44"/>
      <c r="DS14" s="44"/>
      <c r="DT14" s="44"/>
      <c r="DU14" s="44"/>
      <c r="DV14" s="44"/>
      <c r="DW14" s="44"/>
      <c r="DX14" s="44"/>
      <c r="DY14" s="44"/>
      <c r="DZ14" s="44"/>
      <c r="EA14" s="44"/>
      <c r="EB14" s="44"/>
      <c r="EC14" s="44"/>
      <c r="ED14" s="44"/>
      <c r="EE14" s="44"/>
      <c r="EF14" s="44"/>
      <c r="EG14" s="44"/>
    </row>
    <row r="15" spans="1:137" ht="15" customHeight="1">
      <c r="A15" s="14"/>
      <c r="B15" s="44"/>
      <c r="C15" s="223"/>
      <c r="D15" s="223"/>
      <c r="E15" s="223"/>
      <c r="F15" s="223"/>
      <c r="G15" s="223"/>
      <c r="H15" s="56"/>
      <c r="I15" s="56"/>
      <c r="J15" s="56"/>
      <c r="K15" s="56"/>
      <c r="L15" s="56"/>
      <c r="M15" s="123"/>
      <c r="N15" s="123"/>
      <c r="O15" s="127"/>
      <c r="P15" s="127"/>
      <c r="Q15" s="127"/>
      <c r="R15" s="127"/>
      <c r="S15" s="44"/>
      <c r="U15" s="3" t="s">
        <v>91</v>
      </c>
      <c r="AC15" s="3" t="s">
        <v>95</v>
      </c>
      <c r="BU15" s="44"/>
      <c r="BV15" s="44"/>
      <c r="BW15" s="44"/>
      <c r="BX15" s="44"/>
      <c r="BY15" s="44"/>
      <c r="BZ15" s="44"/>
      <c r="CA15" s="44"/>
      <c r="CB15" s="44"/>
      <c r="CC15" s="44"/>
      <c r="CD15" s="44"/>
      <c r="CE15" s="44"/>
      <c r="CF15" s="44"/>
      <c r="CG15" s="44"/>
      <c r="CH15" s="44"/>
      <c r="CI15" s="44"/>
      <c r="CJ15" s="44"/>
      <c r="CK15" s="44"/>
      <c r="CL15" s="44"/>
      <c r="CM15" s="44"/>
      <c r="CN15" s="44"/>
      <c r="CO15" s="44"/>
      <c r="CP15" s="44"/>
      <c r="CQ15" s="44"/>
      <c r="CR15" s="44"/>
      <c r="CS15" s="44"/>
      <c r="CT15" s="44"/>
      <c r="CU15" s="44"/>
      <c r="CV15" s="44"/>
      <c r="CW15" s="44"/>
      <c r="CX15" s="44"/>
      <c r="CY15" s="44"/>
      <c r="CZ15" s="44"/>
      <c r="DA15" s="44"/>
      <c r="DB15" s="44"/>
      <c r="DC15" s="44"/>
      <c r="DD15" s="44"/>
      <c r="DE15" s="44"/>
      <c r="DF15" s="44"/>
      <c r="DG15" s="44"/>
      <c r="DH15" s="44"/>
      <c r="DI15" s="44"/>
      <c r="DJ15" s="44"/>
      <c r="DK15" s="44"/>
      <c r="DL15" s="44"/>
      <c r="DM15" s="44"/>
      <c r="DN15" s="44"/>
      <c r="DO15" s="44"/>
      <c r="DP15" s="44"/>
      <c r="DQ15" s="44"/>
      <c r="DR15" s="44"/>
      <c r="DS15" s="44"/>
      <c r="DT15" s="44"/>
      <c r="DU15" s="44"/>
      <c r="DV15" s="44"/>
      <c r="DW15" s="44"/>
      <c r="DX15" s="44"/>
      <c r="DY15" s="44"/>
      <c r="DZ15" s="44"/>
      <c r="EA15" s="44"/>
      <c r="EB15" s="44"/>
      <c r="EC15" s="44"/>
      <c r="ED15" s="44"/>
      <c r="EE15" s="44"/>
      <c r="EF15" s="44"/>
      <c r="EG15" s="44"/>
    </row>
    <row r="16" spans="1:137" ht="9.9499999999999993" customHeight="1">
      <c r="A16" s="14"/>
      <c r="B16" s="44"/>
      <c r="C16" s="223"/>
      <c r="D16" s="223"/>
      <c r="E16" s="223"/>
      <c r="F16" s="223"/>
      <c r="G16" s="223"/>
      <c r="H16" s="56"/>
      <c r="I16" s="58"/>
      <c r="J16" s="58"/>
      <c r="K16" s="58"/>
      <c r="L16" s="58"/>
      <c r="M16" s="123"/>
      <c r="N16" s="123"/>
      <c r="O16" s="127"/>
      <c r="P16" s="127"/>
      <c r="Q16" s="127"/>
      <c r="R16" s="127"/>
      <c r="S16" s="44"/>
      <c r="AC16" s="3" t="s">
        <v>103</v>
      </c>
      <c r="BU16" s="44"/>
      <c r="BV16" s="44"/>
      <c r="BW16" s="44"/>
      <c r="BX16" s="44"/>
      <c r="BY16" s="44"/>
      <c r="BZ16" s="44"/>
      <c r="CA16" s="44"/>
      <c r="CB16" s="44"/>
      <c r="CC16" s="44"/>
      <c r="CD16" s="44"/>
      <c r="CE16" s="44"/>
      <c r="CF16" s="44"/>
      <c r="CG16" s="44"/>
      <c r="CH16" s="44"/>
      <c r="CI16" s="44"/>
      <c r="CJ16" s="44"/>
      <c r="CK16" s="44"/>
      <c r="CL16" s="44"/>
      <c r="CM16" s="44"/>
      <c r="CN16" s="44"/>
      <c r="CO16" s="44"/>
      <c r="CP16" s="44"/>
      <c r="CQ16" s="44"/>
      <c r="CR16" s="44"/>
      <c r="CS16" s="44"/>
      <c r="CT16" s="44"/>
      <c r="CU16" s="44"/>
      <c r="CV16" s="44"/>
      <c r="CW16" s="44"/>
      <c r="CX16" s="44"/>
      <c r="CY16" s="44"/>
      <c r="CZ16" s="44"/>
      <c r="DA16" s="44"/>
      <c r="DB16" s="44"/>
      <c r="DC16" s="44"/>
      <c r="DD16" s="44"/>
      <c r="DE16" s="44"/>
      <c r="DF16" s="44"/>
      <c r="DG16" s="44"/>
      <c r="DH16" s="44"/>
      <c r="DI16" s="44"/>
      <c r="DJ16" s="44"/>
      <c r="DK16" s="44"/>
      <c r="DL16" s="44"/>
      <c r="DM16" s="44"/>
      <c r="DN16" s="44"/>
      <c r="DO16" s="44"/>
      <c r="DP16" s="44"/>
      <c r="DQ16" s="44"/>
      <c r="DR16" s="44"/>
      <c r="DS16" s="44"/>
      <c r="DT16" s="44"/>
      <c r="DU16" s="44"/>
      <c r="DV16" s="44"/>
      <c r="DW16" s="44"/>
      <c r="DX16" s="44"/>
      <c r="DY16" s="44"/>
      <c r="DZ16" s="44"/>
      <c r="EA16" s="44"/>
      <c r="EB16" s="44"/>
      <c r="EC16" s="44"/>
      <c r="ED16" s="44"/>
      <c r="EE16" s="44"/>
      <c r="EF16" s="44"/>
      <c r="EG16" s="44"/>
    </row>
    <row r="17" spans="1:137" ht="5.25" customHeight="1">
      <c r="A17" s="14"/>
      <c r="B17" s="44"/>
      <c r="C17" s="223"/>
      <c r="D17" s="223"/>
      <c r="E17" s="223"/>
      <c r="F17" s="223"/>
      <c r="G17" s="223"/>
      <c r="H17" s="56"/>
      <c r="I17" s="58"/>
      <c r="J17" s="58"/>
      <c r="K17" s="58"/>
      <c r="L17" s="58"/>
      <c r="M17" s="123"/>
      <c r="N17" s="123"/>
      <c r="O17" s="127"/>
      <c r="P17" s="127"/>
      <c r="Q17" s="127"/>
      <c r="R17" s="127"/>
      <c r="S17" s="44"/>
      <c r="U17" s="3" t="s">
        <v>90</v>
      </c>
      <c r="AQ17" s="38"/>
      <c r="AR17" s="38"/>
      <c r="BU17" s="44"/>
      <c r="BV17" s="44"/>
      <c r="BW17" s="44"/>
      <c r="BX17" s="44"/>
      <c r="BY17" s="44"/>
      <c r="BZ17" s="44"/>
      <c r="CA17" s="44"/>
      <c r="CB17" s="44"/>
      <c r="CC17" s="44"/>
      <c r="CD17" s="44"/>
      <c r="CE17" s="44"/>
      <c r="CF17" s="44"/>
      <c r="CG17" s="44"/>
      <c r="CH17" s="44"/>
      <c r="CI17" s="44"/>
      <c r="CJ17" s="44"/>
      <c r="CK17" s="44"/>
      <c r="CL17" s="44"/>
      <c r="CM17" s="44"/>
      <c r="CN17" s="44"/>
      <c r="CO17" s="44"/>
      <c r="CP17" s="44"/>
      <c r="CQ17" s="44"/>
      <c r="CR17" s="44"/>
      <c r="CS17" s="44"/>
      <c r="CT17" s="44"/>
      <c r="CU17" s="44"/>
      <c r="CV17" s="44"/>
      <c r="CW17" s="44"/>
      <c r="CX17" s="44"/>
      <c r="CY17" s="44"/>
      <c r="CZ17" s="44"/>
      <c r="DA17" s="44"/>
      <c r="DB17" s="44"/>
      <c r="DC17" s="44"/>
      <c r="DD17" s="44"/>
      <c r="DE17" s="44"/>
      <c r="DF17" s="44"/>
      <c r="DG17" s="44"/>
      <c r="DH17" s="44"/>
      <c r="DI17" s="44"/>
      <c r="DJ17" s="44"/>
      <c r="DK17" s="44"/>
      <c r="DL17" s="44"/>
      <c r="DM17" s="44"/>
      <c r="DN17" s="44"/>
      <c r="DO17" s="44"/>
      <c r="DP17" s="44"/>
      <c r="DQ17" s="44"/>
      <c r="DR17" s="44"/>
      <c r="DS17" s="44"/>
      <c r="DT17" s="44"/>
      <c r="DU17" s="44"/>
      <c r="DV17" s="44"/>
      <c r="DW17" s="44"/>
      <c r="DX17" s="44"/>
      <c r="DY17" s="44"/>
      <c r="DZ17" s="44"/>
      <c r="EA17" s="44"/>
      <c r="EB17" s="44"/>
      <c r="EC17" s="44"/>
      <c r="ED17" s="44"/>
      <c r="EE17" s="44"/>
      <c r="EF17" s="44"/>
      <c r="EG17" s="44"/>
    </row>
    <row r="18" spans="1:137">
      <c r="A18" s="14"/>
      <c r="B18" s="44"/>
      <c r="C18" s="223"/>
      <c r="D18" s="223"/>
      <c r="E18" s="223"/>
      <c r="F18" s="223"/>
      <c r="G18" s="223"/>
      <c r="H18" s="56"/>
      <c r="I18" s="51" t="str">
        <f>IF(S59=TRUE,"Gjelder følgende produkter:",IF(X59=TRUE,"Gjelder følgende produkter:",IF(T59=TRUE,"Gjelder følgende produkt:",IF(U59=TRUE,"Gjelder følgende produkter:",IF(V59=TRUE,"Gjelder følgende produkter:",IF(AA59=TRUE,"Gjelder følgende produkter:",IF(AB59=TRUE,"Gjelder følgende produkter:",IF(AD59=TRUE,"Gjelder følgende produkter:",IF(AC59=TRUE,"Gjelder følgende produkter:",IF(AE59=TRUE,"Gjelder følgende produkter:",IF(AF59=TRUE,"Gjelder følgende produkter:","")))))))))))</f>
        <v/>
      </c>
      <c r="J18" s="58"/>
      <c r="K18" s="58"/>
      <c r="L18" s="58"/>
      <c r="M18" s="123"/>
      <c r="N18" s="123"/>
      <c r="O18" s="127"/>
      <c r="P18" s="127"/>
      <c r="Q18" s="127"/>
      <c r="R18" s="127"/>
      <c r="S18" s="44"/>
      <c r="U18" s="3" t="s">
        <v>92</v>
      </c>
      <c r="AB18" s="3">
        <f>LEN(AC18)</f>
        <v>0</v>
      </c>
      <c r="AC18" s="8"/>
      <c r="AQ18" s="38"/>
      <c r="AR18" s="38"/>
      <c r="BU18" s="44"/>
      <c r="BV18" s="44"/>
      <c r="BW18" s="44"/>
      <c r="BX18" s="44"/>
      <c r="BY18" s="44"/>
      <c r="BZ18" s="44"/>
      <c r="CA18" s="44"/>
      <c r="CB18" s="44"/>
      <c r="CC18" s="44"/>
      <c r="CD18" s="44"/>
      <c r="CE18" s="44"/>
      <c r="CF18" s="44"/>
      <c r="CG18" s="44"/>
      <c r="CH18" s="44"/>
      <c r="CI18" s="44"/>
      <c r="CJ18" s="44"/>
      <c r="CK18" s="44"/>
      <c r="CL18" s="44"/>
      <c r="CM18" s="44"/>
      <c r="CN18" s="44"/>
      <c r="CO18" s="44"/>
      <c r="CP18" s="44"/>
      <c r="CQ18" s="44"/>
      <c r="CR18" s="44"/>
      <c r="CS18" s="44"/>
      <c r="CT18" s="44"/>
      <c r="CU18" s="44"/>
      <c r="CV18" s="44"/>
      <c r="CW18" s="44"/>
      <c r="CX18" s="44"/>
      <c r="CY18" s="44"/>
      <c r="CZ18" s="44"/>
      <c r="DA18" s="44"/>
      <c r="DB18" s="44"/>
      <c r="DC18" s="44"/>
      <c r="DD18" s="44"/>
      <c r="DE18" s="44"/>
      <c r="DF18" s="44"/>
      <c r="DG18" s="44"/>
      <c r="DH18" s="44"/>
      <c r="DI18" s="44"/>
      <c r="DJ18" s="44"/>
      <c r="DK18" s="44"/>
      <c r="DL18" s="44"/>
      <c r="DM18" s="44"/>
      <c r="DN18" s="44"/>
      <c r="DO18" s="44"/>
      <c r="DP18" s="44"/>
      <c r="DQ18" s="44"/>
      <c r="DR18" s="44"/>
      <c r="DS18" s="44"/>
      <c r="DT18" s="44"/>
      <c r="DU18" s="44"/>
      <c r="DV18" s="44"/>
      <c r="DW18" s="44"/>
      <c r="DX18" s="44"/>
      <c r="DY18" s="44"/>
      <c r="DZ18" s="44"/>
      <c r="EA18" s="44"/>
      <c r="EB18" s="44"/>
      <c r="EC18" s="44"/>
      <c r="ED18" s="44"/>
      <c r="EE18" s="44"/>
      <c r="EF18" s="44"/>
      <c r="EG18" s="44"/>
    </row>
    <row r="19" spans="1:137" ht="15" customHeight="1">
      <c r="A19" s="14"/>
      <c r="B19" s="44"/>
      <c r="C19" s="223"/>
      <c r="D19" s="223"/>
      <c r="E19" s="223"/>
      <c r="F19" s="223"/>
      <c r="G19" s="223"/>
      <c r="H19" s="56"/>
      <c r="I19" s="240" t="str">
        <f>W36</f>
        <v/>
      </c>
      <c r="J19" s="240"/>
      <c r="K19" s="240"/>
      <c r="L19" s="240"/>
      <c r="M19" s="124"/>
      <c r="N19" s="124"/>
      <c r="O19" s="127"/>
      <c r="P19" s="127"/>
      <c r="Q19" s="127"/>
      <c r="R19" s="127"/>
      <c r="S19" s="44"/>
      <c r="BU19" s="44"/>
      <c r="BV19" s="44"/>
      <c r="BW19" s="44"/>
      <c r="BX19" s="44"/>
      <c r="BY19" s="44"/>
      <c r="BZ19" s="44"/>
      <c r="CA19" s="44"/>
      <c r="CB19" s="44"/>
      <c r="CC19" s="44"/>
      <c r="CD19" s="44"/>
      <c r="CE19" s="44"/>
      <c r="CF19" s="44"/>
      <c r="CG19" s="44"/>
      <c r="CH19" s="44"/>
      <c r="CI19" s="44"/>
      <c r="CJ19" s="44"/>
      <c r="CK19" s="44"/>
      <c r="CL19" s="44"/>
      <c r="CM19" s="44"/>
      <c r="CN19" s="44"/>
      <c r="CO19" s="44"/>
      <c r="CP19" s="44"/>
      <c r="CQ19" s="44"/>
      <c r="CR19" s="44"/>
      <c r="CS19" s="44"/>
      <c r="CT19" s="44"/>
      <c r="CU19" s="44"/>
      <c r="CV19" s="44"/>
      <c r="CW19" s="44"/>
      <c r="CX19" s="44"/>
      <c r="CY19" s="44"/>
      <c r="CZ19" s="44"/>
      <c r="DA19" s="44"/>
      <c r="DB19" s="44"/>
      <c r="DC19" s="44"/>
      <c r="DD19" s="44"/>
      <c r="DE19" s="44"/>
      <c r="DF19" s="44"/>
      <c r="DG19" s="44"/>
      <c r="DH19" s="44"/>
      <c r="DI19" s="44"/>
      <c r="DJ19" s="44"/>
      <c r="DK19" s="44"/>
      <c r="DL19" s="44"/>
      <c r="DM19" s="44"/>
      <c r="DN19" s="44"/>
      <c r="DO19" s="44"/>
      <c r="DP19" s="44"/>
      <c r="DQ19" s="44"/>
      <c r="DR19" s="44"/>
      <c r="DS19" s="44"/>
      <c r="DT19" s="44"/>
      <c r="DU19" s="44"/>
      <c r="DV19" s="44"/>
      <c r="DW19" s="44"/>
      <c r="DX19" s="44"/>
      <c r="DY19" s="44"/>
      <c r="DZ19" s="44"/>
      <c r="EA19" s="44"/>
      <c r="EB19" s="44"/>
      <c r="EC19" s="44"/>
      <c r="ED19" s="44"/>
      <c r="EE19" s="44"/>
      <c r="EF19" s="44"/>
      <c r="EG19" s="44"/>
    </row>
    <row r="20" spans="1:137" ht="9" customHeight="1">
      <c r="A20" s="14"/>
      <c r="B20" s="44"/>
      <c r="C20" s="223"/>
      <c r="D20" s="223"/>
      <c r="E20" s="223"/>
      <c r="F20" s="223"/>
      <c r="G20" s="223"/>
      <c r="H20" s="56"/>
      <c r="I20" s="240"/>
      <c r="J20" s="240"/>
      <c r="K20" s="240"/>
      <c r="L20" s="240"/>
      <c r="M20" s="124"/>
      <c r="N20" s="124"/>
      <c r="O20" s="127"/>
      <c r="P20" s="127"/>
      <c r="Q20" s="127"/>
      <c r="R20" s="127"/>
      <c r="S20" s="44"/>
      <c r="BU20" s="44"/>
      <c r="BV20" s="44"/>
      <c r="BW20" s="44"/>
      <c r="BX20" s="44"/>
      <c r="BY20" s="44"/>
      <c r="BZ20" s="44"/>
      <c r="CA20" s="44"/>
      <c r="CB20" s="44"/>
      <c r="CC20" s="44"/>
      <c r="CD20" s="44"/>
      <c r="CE20" s="44"/>
      <c r="CF20" s="44"/>
      <c r="CG20" s="44"/>
      <c r="CH20" s="44"/>
      <c r="CI20" s="44"/>
      <c r="CJ20" s="44"/>
      <c r="CK20" s="44"/>
      <c r="CL20" s="44"/>
      <c r="CM20" s="44"/>
      <c r="CN20" s="44"/>
      <c r="CO20" s="44"/>
      <c r="CP20" s="44"/>
      <c r="CQ20" s="44"/>
      <c r="CR20" s="44"/>
      <c r="CS20" s="44"/>
      <c r="CT20" s="44"/>
      <c r="CU20" s="44"/>
      <c r="CV20" s="44"/>
      <c r="CW20" s="44"/>
      <c r="CX20" s="44"/>
      <c r="CY20" s="44"/>
      <c r="CZ20" s="44"/>
      <c r="DA20" s="44"/>
      <c r="DB20" s="44"/>
      <c r="DC20" s="44"/>
      <c r="DD20" s="44"/>
      <c r="DE20" s="44"/>
      <c r="DF20" s="44"/>
      <c r="DG20" s="44"/>
      <c r="DH20" s="44"/>
      <c r="DI20" s="44"/>
      <c r="DJ20" s="44"/>
      <c r="DK20" s="44"/>
      <c r="DL20" s="44"/>
      <c r="DM20" s="44"/>
      <c r="DN20" s="44"/>
      <c r="DO20" s="44"/>
      <c r="DP20" s="44"/>
      <c r="DQ20" s="44"/>
      <c r="DR20" s="44"/>
      <c r="DS20" s="44"/>
      <c r="DT20" s="44"/>
      <c r="DU20" s="44"/>
      <c r="DV20" s="44"/>
      <c r="DW20" s="44"/>
      <c r="DX20" s="44"/>
      <c r="DY20" s="44"/>
      <c r="DZ20" s="44"/>
      <c r="EA20" s="44"/>
      <c r="EB20" s="44"/>
      <c r="EC20" s="44"/>
      <c r="ED20" s="44"/>
      <c r="EE20" s="44"/>
      <c r="EF20" s="44"/>
      <c r="EG20" s="44"/>
    </row>
    <row r="21" spans="1:137" ht="9.9499999999999993" customHeight="1">
      <c r="A21" s="14"/>
      <c r="B21" s="44"/>
      <c r="C21" s="223"/>
      <c r="D21" s="223"/>
      <c r="E21" s="223"/>
      <c r="F21" s="223"/>
      <c r="G21" s="223"/>
      <c r="H21" s="56"/>
      <c r="I21" s="240"/>
      <c r="J21" s="240"/>
      <c r="K21" s="240"/>
      <c r="L21" s="240"/>
      <c r="M21" s="124"/>
      <c r="N21" s="124"/>
      <c r="O21" s="127"/>
      <c r="P21" s="127"/>
      <c r="Q21" s="127"/>
      <c r="R21" s="127"/>
      <c r="S21" s="44"/>
      <c r="U21" s="3" t="s">
        <v>93</v>
      </c>
      <c r="BU21" s="44"/>
      <c r="BV21" s="44"/>
      <c r="BW21" s="44"/>
      <c r="BX21" s="44"/>
      <c r="BY21" s="44"/>
      <c r="BZ21" s="44"/>
      <c r="CA21" s="44"/>
      <c r="CB21" s="44"/>
      <c r="CC21" s="44"/>
      <c r="CD21" s="44"/>
      <c r="CE21" s="44"/>
      <c r="CF21" s="44"/>
      <c r="CG21" s="44"/>
      <c r="CH21" s="44"/>
      <c r="CI21" s="44"/>
      <c r="CJ21" s="44"/>
      <c r="CK21" s="44"/>
      <c r="CL21" s="44"/>
      <c r="CM21" s="44"/>
      <c r="CN21" s="44"/>
      <c r="CO21" s="44"/>
      <c r="CP21" s="44"/>
      <c r="CQ21" s="44"/>
      <c r="CR21" s="44"/>
      <c r="CS21" s="44"/>
      <c r="CT21" s="44"/>
      <c r="CU21" s="44"/>
      <c r="CV21" s="44"/>
      <c r="CW21" s="44"/>
      <c r="CX21" s="44"/>
      <c r="CY21" s="44"/>
      <c r="CZ21" s="44"/>
      <c r="DA21" s="44"/>
      <c r="DB21" s="44"/>
      <c r="DC21" s="44"/>
      <c r="DD21" s="44"/>
      <c r="DE21" s="44"/>
      <c r="DF21" s="44"/>
      <c r="DG21" s="44"/>
      <c r="DH21" s="44"/>
      <c r="DI21" s="44"/>
      <c r="DJ21" s="44"/>
      <c r="DK21" s="44"/>
      <c r="DL21" s="44"/>
      <c r="DM21" s="44"/>
      <c r="DN21" s="44"/>
      <c r="DO21" s="44"/>
      <c r="DP21" s="44"/>
      <c r="DQ21" s="44"/>
      <c r="DR21" s="44"/>
      <c r="DS21" s="44"/>
      <c r="DT21" s="44"/>
      <c r="DU21" s="44"/>
      <c r="DV21" s="44"/>
      <c r="DW21" s="44"/>
      <c r="DX21" s="44"/>
      <c r="DY21" s="44"/>
      <c r="DZ21" s="44"/>
      <c r="EA21" s="44"/>
      <c r="EB21" s="44"/>
      <c r="EC21" s="44"/>
      <c r="ED21" s="44"/>
      <c r="EE21" s="44"/>
      <c r="EF21" s="44"/>
      <c r="EG21" s="44"/>
    </row>
    <row r="22" spans="1:137">
      <c r="A22" s="14"/>
      <c r="B22" s="44"/>
      <c r="C22" s="223"/>
      <c r="D22" s="223"/>
      <c r="E22" s="223"/>
      <c r="F22" s="223"/>
      <c r="G22" s="223"/>
      <c r="H22" s="56"/>
      <c r="I22" s="240"/>
      <c r="J22" s="240"/>
      <c r="K22" s="240"/>
      <c r="L22" s="240"/>
      <c r="M22" s="124"/>
      <c r="N22" s="124"/>
      <c r="O22" s="127"/>
      <c r="P22" s="127"/>
      <c r="Q22" s="127"/>
      <c r="R22" s="127"/>
      <c r="S22" s="44"/>
      <c r="U22" s="3" t="s">
        <v>94</v>
      </c>
      <c r="Y22" s="8"/>
      <c r="AC22" s="8"/>
      <c r="BU22" s="44"/>
      <c r="BV22" s="44"/>
      <c r="BW22" s="44"/>
      <c r="BX22" s="44"/>
      <c r="BY22" s="44"/>
      <c r="BZ22" s="44"/>
      <c r="CA22" s="44"/>
      <c r="CB22" s="44"/>
      <c r="CC22" s="44"/>
      <c r="CD22" s="44"/>
      <c r="CE22" s="44"/>
      <c r="CF22" s="44"/>
      <c r="CG22" s="44"/>
      <c r="CH22" s="44"/>
      <c r="CI22" s="44"/>
      <c r="CJ22" s="44"/>
      <c r="CK22" s="44"/>
      <c r="CL22" s="44"/>
      <c r="CM22" s="44"/>
      <c r="CN22" s="44"/>
      <c r="CO22" s="44"/>
      <c r="CP22" s="44"/>
      <c r="CQ22" s="44"/>
      <c r="CR22" s="44"/>
      <c r="CS22" s="44"/>
      <c r="CT22" s="44"/>
      <c r="CU22" s="44"/>
      <c r="CV22" s="44"/>
      <c r="CW22" s="44"/>
      <c r="CX22" s="44"/>
      <c r="CY22" s="44"/>
      <c r="CZ22" s="44"/>
      <c r="DA22" s="44"/>
      <c r="DB22" s="44"/>
      <c r="DC22" s="44"/>
      <c r="DD22" s="44"/>
      <c r="DE22" s="44"/>
      <c r="DF22" s="44"/>
      <c r="DG22" s="44"/>
      <c r="DH22" s="44"/>
      <c r="DI22" s="44"/>
      <c r="DJ22" s="44"/>
      <c r="DK22" s="44"/>
      <c r="DL22" s="44"/>
      <c r="DM22" s="44"/>
      <c r="DN22" s="44"/>
      <c r="DO22" s="44"/>
      <c r="DP22" s="44"/>
      <c r="DQ22" s="44"/>
      <c r="DR22" s="44"/>
      <c r="DS22" s="44"/>
      <c r="DT22" s="44"/>
      <c r="DU22" s="44"/>
      <c r="DV22" s="44"/>
      <c r="DW22" s="44"/>
      <c r="DX22" s="44"/>
      <c r="DY22" s="44"/>
      <c r="DZ22" s="44"/>
      <c r="EA22" s="44"/>
      <c r="EB22" s="44"/>
      <c r="EC22" s="44"/>
      <c r="ED22" s="44"/>
      <c r="EE22" s="44"/>
      <c r="EF22" s="44"/>
      <c r="EG22" s="44"/>
    </row>
    <row r="23" spans="1:137">
      <c r="A23" s="14"/>
      <c r="B23" s="44"/>
      <c r="C23" s="223"/>
      <c r="D23" s="223"/>
      <c r="E23" s="223"/>
      <c r="F23" s="223"/>
      <c r="G23" s="223"/>
      <c r="H23" s="56"/>
      <c r="I23" s="240"/>
      <c r="J23" s="240"/>
      <c r="K23" s="240"/>
      <c r="L23" s="240"/>
      <c r="M23" s="124"/>
      <c r="N23" s="124"/>
      <c r="O23" s="127"/>
      <c r="P23" s="127"/>
      <c r="Q23" s="127"/>
      <c r="R23" s="127"/>
      <c r="S23" s="44"/>
      <c r="BU23" s="44"/>
      <c r="BV23" s="44"/>
      <c r="BW23" s="44"/>
      <c r="BX23" s="44"/>
      <c r="BY23" s="44"/>
      <c r="BZ23" s="44"/>
      <c r="CA23" s="44"/>
      <c r="CB23" s="44"/>
      <c r="CC23" s="44"/>
      <c r="CD23" s="44"/>
      <c r="CE23" s="44"/>
      <c r="CF23" s="44"/>
      <c r="CG23" s="44"/>
      <c r="CH23" s="44"/>
      <c r="CI23" s="44"/>
      <c r="CJ23" s="44"/>
      <c r="CK23" s="44"/>
      <c r="CL23" s="44"/>
      <c r="CM23" s="44"/>
      <c r="CN23" s="44"/>
      <c r="CO23" s="44"/>
      <c r="CP23" s="44"/>
      <c r="CQ23" s="44"/>
      <c r="CR23" s="44"/>
      <c r="CS23" s="44"/>
      <c r="CT23" s="44"/>
      <c r="CU23" s="44"/>
      <c r="CV23" s="44"/>
      <c r="CW23" s="44"/>
      <c r="CX23" s="44"/>
      <c r="CY23" s="44"/>
      <c r="CZ23" s="44"/>
      <c r="DA23" s="44"/>
      <c r="DB23" s="44"/>
      <c r="DC23" s="44"/>
      <c r="DD23" s="44"/>
      <c r="DE23" s="44"/>
      <c r="DF23" s="44"/>
      <c r="DG23" s="44"/>
      <c r="DH23" s="44"/>
      <c r="DI23" s="44"/>
      <c r="DJ23" s="44"/>
      <c r="DK23" s="44"/>
      <c r="DL23" s="44"/>
      <c r="DM23" s="44"/>
      <c r="DN23" s="44"/>
      <c r="DO23" s="44"/>
      <c r="DP23" s="44"/>
      <c r="DQ23" s="44"/>
      <c r="DR23" s="44"/>
      <c r="DS23" s="44"/>
      <c r="DT23" s="44"/>
      <c r="DU23" s="44"/>
      <c r="DV23" s="44"/>
      <c r="DW23" s="44"/>
      <c r="DX23" s="44"/>
      <c r="DY23" s="44"/>
      <c r="DZ23" s="44"/>
      <c r="EA23" s="44"/>
      <c r="EB23" s="44"/>
      <c r="EC23" s="44"/>
      <c r="ED23" s="44"/>
      <c r="EE23" s="44"/>
      <c r="EF23" s="44"/>
      <c r="EG23" s="44"/>
    </row>
    <row r="24" spans="1:137" s="1" customFormat="1" ht="12.75" hidden="1" customHeight="1">
      <c r="A24" s="35"/>
      <c r="B24" s="35"/>
      <c r="C24" s="223"/>
      <c r="D24" s="223"/>
      <c r="E24" s="223"/>
      <c r="F24" s="223"/>
      <c r="G24" s="223"/>
      <c r="H24" s="35"/>
      <c r="I24" s="35"/>
      <c r="J24" s="35"/>
      <c r="K24" s="35"/>
      <c r="L24" s="35"/>
      <c r="M24" s="35"/>
      <c r="N24" s="35"/>
      <c r="O24" s="35"/>
      <c r="P24" s="35"/>
      <c r="Q24" s="35"/>
      <c r="R24" s="35"/>
      <c r="S24" s="35"/>
      <c r="T24" s="3"/>
      <c r="U24" s="3"/>
      <c r="V24" s="3"/>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5"/>
      <c r="BV24" s="35"/>
      <c r="BW24" s="35"/>
      <c r="BX24" s="35"/>
      <c r="BY24" s="35"/>
      <c r="BZ24" s="35"/>
      <c r="CA24" s="35"/>
      <c r="CB24" s="35"/>
      <c r="CC24" s="35"/>
      <c r="CD24" s="35"/>
      <c r="CE24" s="35"/>
      <c r="CF24" s="35"/>
      <c r="CG24" s="35"/>
      <c r="CH24" s="35"/>
      <c r="CI24" s="35"/>
      <c r="CJ24" s="35"/>
      <c r="CK24" s="35"/>
      <c r="CL24" s="35"/>
      <c r="CM24" s="35"/>
      <c r="CN24" s="35"/>
      <c r="CO24" s="35"/>
      <c r="CP24" s="35"/>
      <c r="CQ24" s="35"/>
      <c r="CR24" s="35"/>
      <c r="CS24" s="35"/>
      <c r="CT24" s="35"/>
      <c r="CU24" s="35"/>
      <c r="CV24" s="35"/>
      <c r="CW24" s="35"/>
      <c r="CX24" s="35"/>
      <c r="CY24" s="35"/>
      <c r="CZ24" s="35"/>
      <c r="DA24" s="35"/>
      <c r="DB24" s="35"/>
      <c r="DC24" s="35"/>
      <c r="DD24" s="35"/>
      <c r="DE24" s="35"/>
      <c r="DF24" s="35"/>
      <c r="DG24" s="35"/>
      <c r="DH24" s="35"/>
      <c r="DI24" s="35"/>
      <c r="DJ24" s="35"/>
      <c r="DK24" s="35"/>
      <c r="DL24" s="35"/>
      <c r="DM24" s="35"/>
      <c r="DN24" s="35"/>
      <c r="DO24" s="35"/>
      <c r="DP24" s="35"/>
      <c r="DQ24" s="35"/>
      <c r="DR24" s="35"/>
      <c r="DS24" s="35"/>
      <c r="DT24" s="35"/>
      <c r="DU24" s="35"/>
      <c r="DV24" s="35"/>
      <c r="DW24" s="35"/>
      <c r="DX24" s="35"/>
      <c r="DY24" s="35"/>
      <c r="DZ24" s="35"/>
      <c r="EA24" s="35"/>
      <c r="EB24" s="35"/>
      <c r="EC24" s="35"/>
      <c r="ED24" s="35"/>
      <c r="EE24" s="35"/>
      <c r="EF24" s="35"/>
      <c r="EG24" s="35"/>
    </row>
    <row r="25" spans="1:137" s="1" customFormat="1" ht="9.9499999999999993" hidden="1" customHeight="1">
      <c r="A25" s="35"/>
      <c r="B25" s="35"/>
      <c r="C25" s="223"/>
      <c r="D25" s="223"/>
      <c r="E25" s="223"/>
      <c r="F25" s="223"/>
      <c r="G25" s="223"/>
      <c r="H25" s="35"/>
      <c r="I25" s="35"/>
      <c r="J25" s="35"/>
      <c r="K25" s="35"/>
      <c r="L25" s="35"/>
      <c r="M25" s="35"/>
      <c r="N25" s="35"/>
      <c r="O25" s="35"/>
      <c r="P25" s="35"/>
      <c r="Q25" s="35"/>
      <c r="R25" s="35"/>
      <c r="S25" s="35"/>
      <c r="T25" s="3"/>
      <c r="U25" s="3"/>
      <c r="V25" s="3"/>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5"/>
      <c r="BV25" s="35"/>
      <c r="BW25" s="35"/>
      <c r="BX25" s="35"/>
      <c r="BY25" s="35"/>
      <c r="BZ25" s="35"/>
      <c r="CA25" s="35"/>
      <c r="CB25" s="35"/>
      <c r="CC25" s="35"/>
      <c r="CD25" s="35"/>
      <c r="CE25" s="35"/>
      <c r="CF25" s="35"/>
      <c r="CG25" s="35"/>
      <c r="CH25" s="35"/>
      <c r="CI25" s="35"/>
      <c r="CJ25" s="35"/>
      <c r="CK25" s="35"/>
      <c r="CL25" s="35"/>
      <c r="CM25" s="35"/>
      <c r="CN25" s="35"/>
      <c r="CO25" s="35"/>
      <c r="CP25" s="35"/>
      <c r="CQ25" s="35"/>
      <c r="CR25" s="35"/>
      <c r="CS25" s="35"/>
      <c r="CT25" s="35"/>
      <c r="CU25" s="35"/>
      <c r="CV25" s="35"/>
      <c r="CW25" s="35"/>
      <c r="CX25" s="35"/>
      <c r="CY25" s="35"/>
      <c r="CZ25" s="35"/>
      <c r="DA25" s="35"/>
      <c r="DB25" s="35"/>
      <c r="DC25" s="35"/>
      <c r="DD25" s="35"/>
      <c r="DE25" s="35"/>
      <c r="DF25" s="35"/>
      <c r="DG25" s="35"/>
      <c r="DH25" s="35"/>
      <c r="DI25" s="35"/>
      <c r="DJ25" s="35"/>
      <c r="DK25" s="35"/>
      <c r="DL25" s="35"/>
      <c r="DM25" s="35"/>
      <c r="DN25" s="35"/>
      <c r="DO25" s="35"/>
      <c r="DP25" s="35"/>
      <c r="DQ25" s="35"/>
      <c r="DR25" s="35"/>
      <c r="DS25" s="35"/>
      <c r="DT25" s="35"/>
      <c r="DU25" s="35"/>
      <c r="DV25" s="35"/>
      <c r="DW25" s="35"/>
      <c r="DX25" s="35"/>
      <c r="DY25" s="35"/>
      <c r="DZ25" s="35"/>
      <c r="EA25" s="35"/>
      <c r="EB25" s="35"/>
      <c r="EC25" s="35"/>
      <c r="ED25" s="35"/>
      <c r="EE25" s="35"/>
      <c r="EF25" s="35"/>
      <c r="EG25" s="35"/>
    </row>
    <row r="26" spans="1:137" s="1" customFormat="1" hidden="1">
      <c r="A26" s="35"/>
      <c r="B26" s="35"/>
      <c r="C26" s="114"/>
      <c r="D26" s="114"/>
      <c r="E26" s="114"/>
      <c r="F26" s="114"/>
      <c r="G26" s="114"/>
      <c r="H26" s="117"/>
      <c r="I26" s="115"/>
      <c r="J26" s="118"/>
      <c r="K26" s="118"/>
      <c r="L26" s="118"/>
      <c r="M26" s="128"/>
      <c r="N26" s="128"/>
      <c r="O26" s="129"/>
      <c r="P26" s="129"/>
      <c r="Q26" s="129"/>
      <c r="R26" s="129"/>
      <c r="S26" s="35"/>
      <c r="T26" s="3"/>
      <c r="U26" s="3"/>
      <c r="V26" s="3"/>
      <c r="W26" s="3"/>
      <c r="X26" s="3"/>
      <c r="Y26" s="3"/>
      <c r="Z26" s="3"/>
      <c r="AA26" s="3"/>
      <c r="AB26" s="8" t="s">
        <v>113</v>
      </c>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5"/>
      <c r="BV26" s="35"/>
      <c r="BW26" s="35"/>
      <c r="BX26" s="35"/>
      <c r="BY26" s="35"/>
      <c r="BZ26" s="35"/>
      <c r="CA26" s="35"/>
      <c r="CB26" s="35"/>
      <c r="CC26" s="35"/>
      <c r="CD26" s="35"/>
      <c r="CE26" s="35"/>
      <c r="CF26" s="35"/>
      <c r="CG26" s="35"/>
      <c r="CH26" s="35"/>
      <c r="CI26" s="35"/>
      <c r="CJ26" s="35"/>
      <c r="CK26" s="35"/>
      <c r="CL26" s="35"/>
      <c r="CM26" s="35"/>
      <c r="CN26" s="35"/>
      <c r="CO26" s="35"/>
      <c r="CP26" s="35"/>
      <c r="CQ26" s="35"/>
      <c r="CR26" s="35"/>
      <c r="CS26" s="35"/>
      <c r="CT26" s="35"/>
      <c r="CU26" s="35"/>
      <c r="CV26" s="35"/>
      <c r="CW26" s="35"/>
      <c r="CX26" s="35"/>
      <c r="CY26" s="35"/>
      <c r="CZ26" s="35"/>
      <c r="DA26" s="35"/>
      <c r="DB26" s="35"/>
      <c r="DC26" s="35"/>
      <c r="DD26" s="35"/>
      <c r="DE26" s="35"/>
      <c r="DF26" s="35"/>
      <c r="DG26" s="35"/>
      <c r="DH26" s="35"/>
      <c r="DI26" s="35"/>
      <c r="DJ26" s="35"/>
      <c r="DK26" s="35"/>
      <c r="DL26" s="35"/>
      <c r="DM26" s="35"/>
      <c r="DN26" s="35"/>
      <c r="DO26" s="35"/>
      <c r="DP26" s="35"/>
      <c r="DQ26" s="35"/>
      <c r="DR26" s="35"/>
      <c r="DS26" s="35"/>
      <c r="DT26" s="35"/>
      <c r="DU26" s="35"/>
      <c r="DV26" s="35"/>
      <c r="DW26" s="35"/>
      <c r="DX26" s="35"/>
      <c r="DY26" s="35"/>
      <c r="DZ26" s="35"/>
      <c r="EA26" s="35"/>
      <c r="EB26" s="35"/>
      <c r="EC26" s="35"/>
      <c r="ED26" s="35"/>
      <c r="EE26" s="35"/>
      <c r="EF26" s="35"/>
      <c r="EG26" s="35"/>
    </row>
    <row r="27" spans="1:137" s="1" customFormat="1" ht="15" hidden="1" customHeight="1">
      <c r="A27" s="35"/>
      <c r="B27" s="35"/>
      <c r="C27" s="35"/>
      <c r="D27" s="35"/>
      <c r="E27" s="35"/>
      <c r="F27" s="35"/>
      <c r="G27" s="35"/>
      <c r="H27" s="117"/>
      <c r="I27" s="125"/>
      <c r="J27" s="125"/>
      <c r="K27" s="125"/>
      <c r="L27" s="125"/>
      <c r="M27" s="125"/>
      <c r="N27" s="125"/>
      <c r="O27" s="125"/>
      <c r="P27" s="125"/>
      <c r="Q27" s="125"/>
      <c r="R27" s="125"/>
      <c r="S27" s="35"/>
      <c r="T27" s="3"/>
      <c r="U27" s="3"/>
      <c r="V27" s="3"/>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5"/>
      <c r="BV27" s="35"/>
      <c r="BW27" s="35"/>
      <c r="BX27" s="35"/>
      <c r="BY27" s="35"/>
      <c r="BZ27" s="35"/>
      <c r="CA27" s="35"/>
      <c r="CB27" s="35"/>
      <c r="CC27" s="35"/>
      <c r="CD27" s="35"/>
      <c r="CE27" s="35"/>
      <c r="CF27" s="35"/>
      <c r="CG27" s="35"/>
      <c r="CH27" s="35"/>
      <c r="CI27" s="35"/>
      <c r="CJ27" s="35"/>
      <c r="CK27" s="35"/>
      <c r="CL27" s="35"/>
      <c r="CM27" s="35"/>
      <c r="CN27" s="35"/>
      <c r="CO27" s="35"/>
      <c r="CP27" s="35"/>
      <c r="CQ27" s="35"/>
      <c r="CR27" s="35"/>
      <c r="CS27" s="35"/>
      <c r="CT27" s="35"/>
      <c r="CU27" s="35"/>
      <c r="CV27" s="35"/>
      <c r="CW27" s="35"/>
      <c r="CX27" s="35"/>
      <c r="CY27" s="35"/>
      <c r="CZ27" s="35"/>
      <c r="DA27" s="35"/>
      <c r="DB27" s="35"/>
      <c r="DC27" s="35"/>
      <c r="DD27" s="35"/>
      <c r="DE27" s="35"/>
      <c r="DF27" s="35"/>
      <c r="DG27" s="35"/>
      <c r="DH27" s="35"/>
      <c r="DI27" s="35"/>
      <c r="DJ27" s="35"/>
      <c r="DK27" s="35"/>
      <c r="DL27" s="35"/>
      <c r="DM27" s="35"/>
      <c r="DN27" s="35"/>
      <c r="DO27" s="35"/>
      <c r="DP27" s="35"/>
      <c r="DQ27" s="35"/>
      <c r="DR27" s="35"/>
      <c r="DS27" s="35"/>
      <c r="DT27" s="35"/>
      <c r="DU27" s="35"/>
      <c r="DV27" s="35"/>
      <c r="DW27" s="35"/>
      <c r="DX27" s="35"/>
      <c r="DY27" s="35"/>
      <c r="DZ27" s="35"/>
      <c r="EA27" s="35"/>
      <c r="EB27" s="35"/>
      <c r="EC27" s="35"/>
      <c r="ED27" s="35"/>
      <c r="EE27" s="35"/>
      <c r="EF27" s="35"/>
      <c r="EG27" s="35"/>
    </row>
    <row r="28" spans="1:137" s="1" customFormat="1" ht="15" hidden="1" customHeight="1">
      <c r="A28" s="35"/>
      <c r="B28" s="35"/>
      <c r="C28" s="35"/>
      <c r="D28" s="35"/>
      <c r="E28" s="35"/>
      <c r="F28" s="35"/>
      <c r="G28" s="35"/>
      <c r="H28" s="117"/>
      <c r="I28" s="125"/>
      <c r="J28" s="125"/>
      <c r="K28" s="125"/>
      <c r="L28" s="125"/>
      <c r="M28" s="125"/>
      <c r="N28" s="125"/>
      <c r="O28" s="125"/>
      <c r="P28" s="125"/>
      <c r="Q28" s="125"/>
      <c r="R28" s="125"/>
      <c r="S28" s="35"/>
      <c r="T28" s="3"/>
      <c r="U28" s="3"/>
      <c r="V28" s="3"/>
      <c r="W28" s="3"/>
      <c r="X28" s="3"/>
      <c r="Y28" s="3"/>
      <c r="Z28" s="120"/>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5"/>
      <c r="BV28" s="35"/>
      <c r="BW28" s="35"/>
      <c r="BX28" s="35"/>
      <c r="BY28" s="35"/>
      <c r="BZ28" s="35"/>
      <c r="CA28" s="35"/>
      <c r="CB28" s="35"/>
      <c r="CC28" s="35"/>
      <c r="CD28" s="35"/>
      <c r="CE28" s="35"/>
      <c r="CF28" s="35"/>
      <c r="CG28" s="35"/>
      <c r="CH28" s="35"/>
      <c r="CI28" s="35"/>
      <c r="CJ28" s="35"/>
      <c r="CK28" s="35"/>
      <c r="CL28" s="35"/>
      <c r="CM28" s="35"/>
      <c r="CN28" s="35"/>
      <c r="CO28" s="35"/>
      <c r="CP28" s="35"/>
      <c r="CQ28" s="35"/>
      <c r="CR28" s="35"/>
      <c r="CS28" s="35"/>
      <c r="CT28" s="35"/>
      <c r="CU28" s="35"/>
      <c r="CV28" s="35"/>
      <c r="CW28" s="35"/>
      <c r="CX28" s="35"/>
      <c r="CY28" s="35"/>
      <c r="CZ28" s="35"/>
      <c r="DA28" s="35"/>
      <c r="DB28" s="35"/>
      <c r="DC28" s="35"/>
      <c r="DD28" s="35"/>
      <c r="DE28" s="35"/>
      <c r="DF28" s="35"/>
      <c r="DG28" s="35"/>
      <c r="DH28" s="35"/>
      <c r="DI28" s="35"/>
      <c r="DJ28" s="35"/>
      <c r="DK28" s="35"/>
      <c r="DL28" s="35"/>
      <c r="DM28" s="35"/>
      <c r="DN28" s="35"/>
      <c r="DO28" s="35"/>
      <c r="DP28" s="35"/>
      <c r="DQ28" s="35"/>
      <c r="DR28" s="35"/>
      <c r="DS28" s="35"/>
      <c r="DT28" s="35"/>
      <c r="DU28" s="35"/>
      <c r="DV28" s="35"/>
      <c r="DW28" s="35"/>
      <c r="DX28" s="35"/>
      <c r="DY28" s="35"/>
      <c r="DZ28" s="35"/>
      <c r="EA28" s="35"/>
      <c r="EB28" s="35"/>
      <c r="EC28" s="35"/>
      <c r="ED28" s="35"/>
      <c r="EE28" s="35"/>
      <c r="EF28" s="35"/>
      <c r="EG28" s="35"/>
    </row>
    <row r="29" spans="1:137" s="1" customFormat="1" ht="15" hidden="1" customHeight="1">
      <c r="A29" s="35"/>
      <c r="B29" s="35"/>
      <c r="C29" s="115"/>
      <c r="D29" s="116"/>
      <c r="E29" s="35"/>
      <c r="F29" s="35"/>
      <c r="G29" s="35"/>
      <c r="H29" s="117"/>
      <c r="I29" s="154"/>
      <c r="J29" s="118"/>
      <c r="K29" s="118"/>
      <c r="L29" s="118"/>
      <c r="M29" s="118"/>
      <c r="N29" s="118"/>
      <c r="O29" s="118"/>
      <c r="P29" s="118"/>
      <c r="Q29" s="118"/>
      <c r="R29" s="118"/>
      <c r="S29" s="35"/>
      <c r="T29" s="3"/>
      <c r="U29" s="3"/>
      <c r="V29" s="3"/>
      <c r="W29" s="3" t="b">
        <f>IF(I19="",FALSE,TRUE)</f>
        <v>0</v>
      </c>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5"/>
      <c r="BV29" s="35"/>
      <c r="BW29" s="35"/>
      <c r="BX29" s="35"/>
      <c r="BY29" s="35"/>
      <c r="BZ29" s="35"/>
      <c r="CA29" s="35"/>
      <c r="CB29" s="35"/>
      <c r="CC29" s="35"/>
      <c r="CD29" s="35"/>
      <c r="CE29" s="35"/>
      <c r="CF29" s="35"/>
      <c r="CG29" s="35"/>
      <c r="CH29" s="35"/>
      <c r="CI29" s="35"/>
      <c r="CJ29" s="35"/>
      <c r="CK29" s="35"/>
      <c r="CL29" s="35"/>
      <c r="CM29" s="35"/>
      <c r="CN29" s="35"/>
      <c r="CO29" s="35"/>
      <c r="CP29" s="35"/>
      <c r="CQ29" s="35"/>
      <c r="CR29" s="35"/>
      <c r="CS29" s="35"/>
      <c r="CT29" s="35"/>
      <c r="CU29" s="35"/>
      <c r="CV29" s="35"/>
      <c r="CW29" s="35"/>
      <c r="CX29" s="35"/>
      <c r="CY29" s="35"/>
      <c r="CZ29" s="35"/>
      <c r="DA29" s="35"/>
      <c r="DB29" s="35"/>
      <c r="DC29" s="35"/>
      <c r="DD29" s="35"/>
      <c r="DE29" s="35"/>
      <c r="DF29" s="35"/>
      <c r="DG29" s="35"/>
      <c r="DH29" s="35"/>
      <c r="DI29" s="35"/>
      <c r="DJ29" s="35"/>
      <c r="DK29" s="35"/>
      <c r="DL29" s="35"/>
      <c r="DM29" s="35"/>
      <c r="DN29" s="35"/>
      <c r="DO29" s="35"/>
      <c r="DP29" s="35"/>
      <c r="DQ29" s="35"/>
      <c r="DR29" s="35"/>
      <c r="DS29" s="35"/>
      <c r="DT29" s="35"/>
      <c r="DU29" s="35"/>
      <c r="DV29" s="35"/>
      <c r="DW29" s="35"/>
      <c r="DX29" s="35"/>
      <c r="DY29" s="35"/>
      <c r="DZ29" s="35"/>
      <c r="EA29" s="35"/>
      <c r="EB29" s="35"/>
      <c r="EC29" s="35"/>
      <c r="ED29" s="35"/>
      <c r="EE29" s="35"/>
      <c r="EF29" s="35"/>
      <c r="EG29" s="35"/>
    </row>
    <row r="30" spans="1:137" s="1" customFormat="1" ht="15" hidden="1" customHeight="1">
      <c r="A30" s="35"/>
      <c r="B30" s="35"/>
      <c r="C30" s="113"/>
      <c r="D30" s="113"/>
      <c r="E30" s="113"/>
      <c r="F30" s="113"/>
      <c r="G30" s="113"/>
      <c r="H30" s="113"/>
      <c r="I30" s="113"/>
      <c r="J30" s="113"/>
      <c r="K30" s="113"/>
      <c r="L30" s="113"/>
      <c r="M30" s="35"/>
      <c r="N30" s="35"/>
      <c r="O30" s="35"/>
      <c r="P30" s="35"/>
      <c r="Q30" s="35"/>
      <c r="R30" s="35"/>
      <c r="S30" s="35"/>
      <c r="T30" s="3"/>
      <c r="U30" s="3"/>
      <c r="V30" s="3"/>
      <c r="W30" s="151" t="str">
        <f>IF($S$59=TRUE,"Sponplater, ",IF(T59=TRUE,"Limtre.",IF(U59=TRUE,"Vinyl/linoleum, ",IF(V59=TRUE,"Ferdige tapeter, ",IF(X59=TRUE,"Vinyl-/våtromstapet, ",IF(Z59=TRUE,"Herunder sponplater, fiberplater, herunder MDF, OSB, sementbundne sponplater, ",IF(AA59=TRUE,"Trekonstruksjoner ifølge EN 14080:2013 Trekonstruksjoner - Limtre og limt laminert heltre - Krav",IF(AB59=TRUE,"Slitesterke tekstil- og laminatgulvbelegg (f.eks. vinyl-, linoleum-, kork-, gummi-, teppe-,",IF(AD59=TRUE,"Nedsenkede himlingsplater ifølge EN 13964:2014 (Nedsenkede himlinger - Krav og prøvingsmetoder)",IF(AC59=TRUE,"Fugemasser som elastiske eller plastiske fugemasser basert på polyuretan, silikon, MS-polymer, akryl eller lignende.",IF(AE59=TRUE,"Veggkledninger ifølge NS-EN 15102:2007 (Dekorative veggkledninger - Produkter på rull og i plateform)",IF(AF59=TRUE,"Gulvprodukter ifølge NS-EN 13813 (Støpte gulvbelegg eller avrettingslag. Gulvmasser. Egenskaper og krav).",""))))))))))))</f>
        <v/>
      </c>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5"/>
      <c r="BV30" s="35"/>
      <c r="BW30" s="35"/>
      <c r="BX30" s="35"/>
      <c r="BY30" s="35"/>
      <c r="BZ30" s="35"/>
      <c r="CA30" s="35"/>
      <c r="CB30" s="35"/>
      <c r="CC30" s="35"/>
      <c r="CD30" s="35"/>
      <c r="CE30" s="35"/>
      <c r="CF30" s="35"/>
      <c r="CG30" s="35"/>
      <c r="CH30" s="35"/>
      <c r="CI30" s="35"/>
      <c r="CJ30" s="35"/>
      <c r="CK30" s="35"/>
      <c r="CL30" s="35"/>
      <c r="CM30" s="35"/>
      <c r="CN30" s="35"/>
      <c r="CO30" s="35"/>
      <c r="CP30" s="35"/>
      <c r="CQ30" s="35"/>
      <c r="CR30" s="35"/>
      <c r="CS30" s="35"/>
      <c r="CT30" s="35"/>
      <c r="CU30" s="35"/>
      <c r="CV30" s="35"/>
      <c r="CW30" s="35"/>
      <c r="CX30" s="35"/>
      <c r="CY30" s="35"/>
      <c r="CZ30" s="35"/>
      <c r="DA30" s="35"/>
      <c r="DB30" s="35"/>
      <c r="DC30" s="35"/>
      <c r="DD30" s="35"/>
      <c r="DE30" s="35"/>
      <c r="DF30" s="35"/>
      <c r="DG30" s="35"/>
      <c r="DH30" s="35"/>
      <c r="DI30" s="35"/>
      <c r="DJ30" s="35"/>
      <c r="DK30" s="35"/>
      <c r="DL30" s="35"/>
      <c r="DM30" s="35"/>
      <c r="DN30" s="35"/>
      <c r="DO30" s="35"/>
      <c r="DP30" s="35"/>
      <c r="DQ30" s="35"/>
      <c r="DR30" s="35"/>
      <c r="DS30" s="35"/>
      <c r="DT30" s="35"/>
      <c r="DU30" s="35"/>
      <c r="DV30" s="35"/>
      <c r="DW30" s="35"/>
      <c r="DX30" s="35"/>
      <c r="DY30" s="35"/>
      <c r="DZ30" s="35"/>
      <c r="EA30" s="35"/>
      <c r="EB30" s="35"/>
      <c r="EC30" s="35"/>
      <c r="ED30" s="35"/>
      <c r="EE30" s="35"/>
      <c r="EF30" s="35"/>
      <c r="EG30" s="35"/>
    </row>
    <row r="31" spans="1:137" s="1" customFormat="1" ht="15" hidden="1" customHeight="1">
      <c r="A31" s="35"/>
      <c r="B31" s="35"/>
      <c r="C31" s="113"/>
      <c r="D31" s="113"/>
      <c r="E31" s="113"/>
      <c r="F31" s="113"/>
      <c r="G31" s="113"/>
      <c r="H31" s="113"/>
      <c r="I31" s="113"/>
      <c r="J31" s="113"/>
      <c r="K31" s="113"/>
      <c r="L31" s="113"/>
      <c r="M31" s="35"/>
      <c r="N31" s="35"/>
      <c r="O31" s="35"/>
      <c r="P31" s="35"/>
      <c r="Q31" s="35"/>
      <c r="R31" s="35"/>
      <c r="S31" s="35"/>
      <c r="T31" s="3"/>
      <c r="U31" s="3"/>
      <c r="V31" s="3"/>
      <c r="W31" s="151" t="str">
        <f>IF($S$59=TRUE,"fiberplater (også MDF), ",IF(U59=TRUE,"kork og gummi, ",IF(V59=TRUE,"tapet som skal dekoreres, ",IF(X59=TRUE,"glassfiberstrie",IF(Z59=TRUE,"kryssfiner, heltreplater og akustikkplater ifølge EN 13986:2004 (Trebaserte plater til bruk i bygg og anlegg - Egenskaper, evaluering av samsvar og merking)",IF(AB59=TRUE," laminatgulv) ifølge EN 14041:2004 (Halvharde gulvbelegg, tekstile gulvbelegg og laminatgulv. Grunnleggende krav)",""))))))</f>
        <v/>
      </c>
      <c r="X31" s="3"/>
      <c r="Y31" s="3"/>
      <c r="Z31" s="3"/>
      <c r="AA31" s="3"/>
      <c r="AB31" s="3"/>
      <c r="AC31" s="3"/>
      <c r="AD31" s="3"/>
      <c r="AE31" s="3"/>
      <c r="AF31" s="3"/>
      <c r="AG31" s="3"/>
      <c r="AH31" s="3"/>
      <c r="AI31" s="3"/>
      <c r="AJ31" s="3" t="s">
        <v>99</v>
      </c>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5"/>
      <c r="BV31" s="35"/>
      <c r="BW31" s="35"/>
      <c r="BX31" s="35"/>
      <c r="BY31" s="35"/>
      <c r="BZ31" s="35"/>
      <c r="CA31" s="35"/>
      <c r="CB31" s="35"/>
      <c r="CC31" s="35"/>
      <c r="CD31" s="35"/>
      <c r="CE31" s="35"/>
      <c r="CF31" s="35"/>
      <c r="CG31" s="35"/>
      <c r="CH31" s="35"/>
      <c r="CI31" s="35"/>
      <c r="CJ31" s="35"/>
      <c r="CK31" s="35"/>
      <c r="CL31" s="35"/>
      <c r="CM31" s="35"/>
      <c r="CN31" s="35"/>
      <c r="CO31" s="35"/>
      <c r="CP31" s="35"/>
      <c r="CQ31" s="35"/>
      <c r="CR31" s="35"/>
      <c r="CS31" s="35"/>
      <c r="CT31" s="35"/>
      <c r="CU31" s="35"/>
      <c r="CV31" s="35"/>
      <c r="CW31" s="35"/>
      <c r="CX31" s="35"/>
      <c r="CY31" s="35"/>
      <c r="CZ31" s="35"/>
      <c r="DA31" s="35"/>
      <c r="DB31" s="35"/>
      <c r="DC31" s="35"/>
      <c r="DD31" s="35"/>
      <c r="DE31" s="35"/>
      <c r="DF31" s="35"/>
      <c r="DG31" s="35"/>
      <c r="DH31" s="35"/>
      <c r="DI31" s="35"/>
      <c r="DJ31" s="35"/>
      <c r="DK31" s="35"/>
      <c r="DL31" s="35"/>
      <c r="DM31" s="35"/>
      <c r="DN31" s="35"/>
      <c r="DO31" s="35"/>
      <c r="DP31" s="35"/>
      <c r="DQ31" s="35"/>
      <c r="DR31" s="35"/>
      <c r="DS31" s="35"/>
      <c r="DT31" s="35"/>
      <c r="DU31" s="35"/>
      <c r="DV31" s="35"/>
      <c r="DW31" s="35"/>
      <c r="DX31" s="35"/>
      <c r="DY31" s="35"/>
      <c r="DZ31" s="35"/>
      <c r="EA31" s="35"/>
      <c r="EB31" s="35"/>
      <c r="EC31" s="35"/>
      <c r="ED31" s="35"/>
      <c r="EE31" s="35"/>
      <c r="EF31" s="35"/>
      <c r="EG31" s="35"/>
    </row>
    <row r="32" spans="1:137" s="1" customFormat="1" ht="15" hidden="1" customHeight="1">
      <c r="A32" s="35"/>
      <c r="B32" s="35"/>
      <c r="C32" s="35"/>
      <c r="D32" s="116"/>
      <c r="E32" s="35"/>
      <c r="F32" s="35"/>
      <c r="G32" s="35"/>
      <c r="H32" s="35"/>
      <c r="I32" s="35"/>
      <c r="J32" s="35"/>
      <c r="K32" s="35"/>
      <c r="L32" s="35"/>
      <c r="M32" s="35"/>
      <c r="N32" s="35"/>
      <c r="O32" s="35"/>
      <c r="P32" s="35"/>
      <c r="Q32" s="35"/>
      <c r="R32" s="35"/>
      <c r="S32" s="35"/>
      <c r="T32" s="3"/>
      <c r="U32" s="3"/>
      <c r="V32" s="3"/>
      <c r="W32" s="151" t="str">
        <f>IF($S$59=TRUE,"OSB, ",IF(U59=TRUE,"teppe ",IF(V59=TRUE,"tekstile veggkledninger, ","")))</f>
        <v/>
      </c>
      <c r="X32" s="3"/>
      <c r="Y32" s="3"/>
      <c r="Z32" s="3"/>
      <c r="AA32" s="3"/>
      <c r="AB32" s="3"/>
      <c r="AC32" s="3" t="s">
        <v>105</v>
      </c>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5"/>
      <c r="BV32" s="35"/>
      <c r="BW32" s="35"/>
      <c r="BX32" s="35"/>
      <c r="BY32" s="35"/>
      <c r="BZ32" s="35"/>
      <c r="CA32" s="35"/>
      <c r="CB32" s="35"/>
      <c r="CC32" s="35"/>
      <c r="CD32" s="35"/>
      <c r="CE32" s="35"/>
      <c r="CF32" s="35"/>
      <c r="CG32" s="35"/>
      <c r="CH32" s="35"/>
      <c r="CI32" s="35"/>
      <c r="CJ32" s="35"/>
      <c r="CK32" s="35"/>
      <c r="CL32" s="35"/>
      <c r="CM32" s="35"/>
      <c r="CN32" s="35"/>
      <c r="CO32" s="35"/>
      <c r="CP32" s="35"/>
      <c r="CQ32" s="35"/>
      <c r="CR32" s="35"/>
      <c r="CS32" s="35"/>
      <c r="CT32" s="35"/>
      <c r="CU32" s="35"/>
      <c r="CV32" s="35"/>
      <c r="CW32" s="35"/>
      <c r="CX32" s="35"/>
      <c r="CY32" s="35"/>
      <c r="CZ32" s="35"/>
      <c r="DA32" s="35"/>
      <c r="DB32" s="35"/>
      <c r="DC32" s="35"/>
      <c r="DD32" s="35"/>
      <c r="DE32" s="35"/>
      <c r="DF32" s="35"/>
      <c r="DG32" s="35"/>
      <c r="DH32" s="35"/>
      <c r="DI32" s="35"/>
      <c r="DJ32" s="35"/>
      <c r="DK32" s="35"/>
      <c r="DL32" s="35"/>
      <c r="DM32" s="35"/>
      <c r="DN32" s="35"/>
      <c r="DO32" s="35"/>
      <c r="DP32" s="35"/>
      <c r="DQ32" s="35"/>
      <c r="DR32" s="35"/>
      <c r="DS32" s="35"/>
      <c r="DT32" s="35"/>
      <c r="DU32" s="35"/>
      <c r="DV32" s="35"/>
      <c r="DW32" s="35"/>
      <c r="DX32" s="35"/>
      <c r="DY32" s="35"/>
      <c r="DZ32" s="35"/>
      <c r="EA32" s="35"/>
      <c r="EB32" s="35"/>
      <c r="EC32" s="35"/>
      <c r="ED32" s="35"/>
      <c r="EE32" s="35"/>
      <c r="EF32" s="35"/>
      <c r="EG32" s="35"/>
    </row>
    <row r="33" spans="1:137" s="1" customFormat="1" ht="15" hidden="1" customHeight="1">
      <c r="A33" s="35"/>
      <c r="B33" s="35"/>
      <c r="C33" s="35"/>
      <c r="D33" s="121"/>
      <c r="E33" s="35"/>
      <c r="F33" s="35"/>
      <c r="G33" s="35"/>
      <c r="H33" s="35"/>
      <c r="I33" s="35"/>
      <c r="J33" s="35"/>
      <c r="K33" s="35"/>
      <c r="L33" s="35"/>
      <c r="M33" s="35"/>
      <c r="N33" s="35"/>
      <c r="O33" s="35"/>
      <c r="P33" s="35"/>
      <c r="Q33" s="35"/>
      <c r="R33" s="35"/>
      <c r="S33" s="35"/>
      <c r="T33" s="3"/>
      <c r="U33" s="3"/>
      <c r="V33" s="3"/>
      <c r="W33" s="151" t="str">
        <f>IF($S$59=TRUE,"sementbundne sponplater, ",IF(U59=TRUE,"og laminatgulv.",IF(V59=TRUE,"veggkledninger for hard belastning ","")))</f>
        <v/>
      </c>
      <c r="X33" s="3"/>
      <c r="Y33" s="3"/>
      <c r="Z33" s="3"/>
      <c r="AA33" s="3"/>
      <c r="AB33" s="3"/>
      <c r="AC33" s="3" t="s">
        <v>104</v>
      </c>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5"/>
      <c r="BV33" s="35"/>
      <c r="BW33" s="35"/>
      <c r="BX33" s="35"/>
      <c r="BY33" s="35"/>
      <c r="BZ33" s="35"/>
      <c r="CA33" s="35"/>
      <c r="CB33" s="35"/>
      <c r="CC33" s="35"/>
      <c r="CD33" s="35"/>
      <c r="CE33" s="35"/>
      <c r="CF33" s="35"/>
      <c r="CG33" s="35"/>
      <c r="CH33" s="35"/>
      <c r="CI33" s="35"/>
      <c r="CJ33" s="35"/>
      <c r="CK33" s="35"/>
      <c r="CL33" s="35"/>
      <c r="CM33" s="35"/>
      <c r="CN33" s="35"/>
      <c r="CO33" s="35"/>
      <c r="CP33" s="35"/>
      <c r="CQ33" s="35"/>
      <c r="CR33" s="35"/>
      <c r="CS33" s="35"/>
      <c r="CT33" s="35"/>
      <c r="CU33" s="35"/>
      <c r="CV33" s="35"/>
      <c r="CW33" s="35"/>
      <c r="CX33" s="35"/>
      <c r="CY33" s="35"/>
      <c r="CZ33" s="35"/>
      <c r="DA33" s="35"/>
      <c r="DB33" s="35"/>
      <c r="DC33" s="35"/>
      <c r="DD33" s="35"/>
      <c r="DE33" s="35"/>
      <c r="DF33" s="35"/>
      <c r="DG33" s="35"/>
      <c r="DH33" s="35"/>
      <c r="DI33" s="35"/>
      <c r="DJ33" s="35"/>
      <c r="DK33" s="35"/>
      <c r="DL33" s="35"/>
      <c r="DM33" s="35"/>
      <c r="DN33" s="35"/>
      <c r="DO33" s="35"/>
      <c r="DP33" s="35"/>
      <c r="DQ33" s="35"/>
      <c r="DR33" s="35"/>
      <c r="DS33" s="35"/>
      <c r="DT33" s="35"/>
      <c r="DU33" s="35"/>
      <c r="DV33" s="35"/>
      <c r="DW33" s="35"/>
      <c r="DX33" s="35"/>
      <c r="DY33" s="35"/>
      <c r="DZ33" s="35"/>
      <c r="EA33" s="35"/>
      <c r="EB33" s="35"/>
      <c r="EC33" s="35"/>
      <c r="ED33" s="35"/>
      <c r="EE33" s="35"/>
      <c r="EF33" s="35"/>
      <c r="EG33" s="35"/>
    </row>
    <row r="34" spans="1:137" s="1" customFormat="1" ht="15" hidden="1" customHeight="1">
      <c r="A34" s="35"/>
      <c r="B34" s="35"/>
      <c r="C34" s="35"/>
      <c r="D34" s="116"/>
      <c r="E34" s="35"/>
      <c r="F34" s="35"/>
      <c r="G34" s="35"/>
      <c r="H34" s="35"/>
      <c r="I34" s="35"/>
      <c r="J34" s="35"/>
      <c r="K34" s="35"/>
      <c r="L34" s="35"/>
      <c r="M34" s="35"/>
      <c r="N34" s="35"/>
      <c r="O34" s="35"/>
      <c r="P34" s="35"/>
      <c r="Q34" s="35"/>
      <c r="R34" s="35"/>
      <c r="S34" s="35"/>
      <c r="T34" s="3"/>
      <c r="U34" s="3"/>
      <c r="V34" s="3"/>
      <c r="W34" s="151" t="str">
        <f>IF($S$59=TRUE,"kryssfinér, ",IF(V59=TRUE,"og veggkledninger i vinyl og plast.",""))</f>
        <v/>
      </c>
      <c r="X34" s="3"/>
      <c r="Y34" s="3"/>
      <c r="Z34" s="3"/>
      <c r="AA34" s="3"/>
      <c r="AB34" s="3"/>
      <c r="AC34" s="3" t="s">
        <v>106</v>
      </c>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5"/>
      <c r="BV34" s="35"/>
      <c r="BW34" s="35"/>
      <c r="BX34" s="35"/>
      <c r="BY34" s="35"/>
      <c r="BZ34" s="35"/>
      <c r="CA34" s="35"/>
      <c r="CB34" s="35"/>
      <c r="CC34" s="35"/>
      <c r="CD34" s="35"/>
      <c r="CE34" s="35"/>
      <c r="CF34" s="35"/>
      <c r="CG34" s="35"/>
      <c r="CH34" s="35"/>
      <c r="CI34" s="35"/>
      <c r="CJ34" s="35"/>
      <c r="CK34" s="35"/>
      <c r="CL34" s="35"/>
      <c r="CM34" s="35"/>
      <c r="CN34" s="35"/>
      <c r="CO34" s="35"/>
      <c r="CP34" s="35"/>
      <c r="CQ34" s="35"/>
      <c r="CR34" s="35"/>
      <c r="CS34" s="35"/>
      <c r="CT34" s="35"/>
      <c r="CU34" s="35"/>
      <c r="CV34" s="35"/>
      <c r="CW34" s="35"/>
      <c r="CX34" s="35"/>
      <c r="CY34" s="35"/>
      <c r="CZ34" s="35"/>
      <c r="DA34" s="35"/>
      <c r="DB34" s="35"/>
      <c r="DC34" s="35"/>
      <c r="DD34" s="35"/>
      <c r="DE34" s="35"/>
      <c r="DF34" s="35"/>
      <c r="DG34" s="35"/>
      <c r="DH34" s="35"/>
      <c r="DI34" s="35"/>
      <c r="DJ34" s="35"/>
      <c r="DK34" s="35"/>
      <c r="DL34" s="35"/>
      <c r="DM34" s="35"/>
      <c r="DN34" s="35"/>
      <c r="DO34" s="35"/>
      <c r="DP34" s="35"/>
      <c r="DQ34" s="35"/>
      <c r="DR34" s="35"/>
      <c r="DS34" s="35"/>
      <c r="DT34" s="35"/>
      <c r="DU34" s="35"/>
      <c r="DV34" s="35"/>
      <c r="DW34" s="35"/>
      <c r="DX34" s="35"/>
      <c r="DY34" s="35"/>
      <c r="DZ34" s="35"/>
      <c r="EA34" s="35"/>
      <c r="EB34" s="35"/>
      <c r="EC34" s="35"/>
      <c r="ED34" s="35"/>
      <c r="EE34" s="35"/>
      <c r="EF34" s="35"/>
      <c r="EG34" s="35"/>
    </row>
    <row r="35" spans="1:137" s="1" customFormat="1" ht="15" hidden="1" customHeight="1">
      <c r="A35" s="35"/>
      <c r="B35" s="35"/>
      <c r="C35" s="35"/>
      <c r="D35" s="116"/>
      <c r="E35" s="35"/>
      <c r="F35" s="35"/>
      <c r="G35" s="35"/>
      <c r="H35" s="35"/>
      <c r="I35" s="35"/>
      <c r="J35" s="35"/>
      <c r="K35" s="35"/>
      <c r="L35" s="35"/>
      <c r="M35" s="35"/>
      <c r="N35" s="35"/>
      <c r="O35" s="35"/>
      <c r="P35" s="35"/>
      <c r="Q35" s="35"/>
      <c r="R35" s="35"/>
      <c r="S35" s="35"/>
      <c r="T35" s="3"/>
      <c r="U35" s="3"/>
      <c r="V35" s="3"/>
      <c r="W35" s="151" t="str">
        <f>IF($S$59=TRUE,"heltreplater og akustikkplater.","")</f>
        <v/>
      </c>
      <c r="X35" s="3"/>
      <c r="Y35" s="3"/>
      <c r="Z35" s="3"/>
      <c r="AA35" s="3"/>
      <c r="AB35" s="3"/>
      <c r="AC35" s="3"/>
      <c r="AD35" s="3"/>
      <c r="AE35" s="3"/>
      <c r="AF35" s="3"/>
      <c r="AG35" s="3"/>
      <c r="AH35" s="3"/>
      <c r="AI35" s="3"/>
      <c r="AJ35" s="143" t="s">
        <v>99</v>
      </c>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5"/>
      <c r="BV35" s="35"/>
      <c r="BW35" s="35"/>
      <c r="BX35" s="35"/>
      <c r="BY35" s="35"/>
      <c r="BZ35" s="35"/>
      <c r="CA35" s="35"/>
      <c r="CB35" s="35"/>
      <c r="CC35" s="35"/>
      <c r="CD35" s="35"/>
      <c r="CE35" s="35"/>
      <c r="CF35" s="35"/>
      <c r="CG35" s="35"/>
      <c r="CH35" s="35"/>
      <c r="CI35" s="35"/>
      <c r="CJ35" s="35"/>
      <c r="CK35" s="35"/>
      <c r="CL35" s="35"/>
      <c r="CM35" s="35"/>
      <c r="CN35" s="35"/>
      <c r="CO35" s="35"/>
      <c r="CP35" s="35"/>
      <c r="CQ35" s="35"/>
      <c r="CR35" s="35"/>
      <c r="CS35" s="35"/>
      <c r="CT35" s="35"/>
      <c r="CU35" s="35"/>
      <c r="CV35" s="35"/>
      <c r="CW35" s="35"/>
      <c r="CX35" s="35"/>
      <c r="CY35" s="35"/>
      <c r="CZ35" s="35"/>
      <c r="DA35" s="35"/>
      <c r="DB35" s="35"/>
      <c r="DC35" s="35"/>
      <c r="DD35" s="35"/>
      <c r="DE35" s="35"/>
      <c r="DF35" s="35"/>
      <c r="DG35" s="35"/>
      <c r="DH35" s="35"/>
      <c r="DI35" s="35"/>
      <c r="DJ35" s="35"/>
      <c r="DK35" s="35"/>
      <c r="DL35" s="35"/>
      <c r="DM35" s="35"/>
      <c r="DN35" s="35"/>
      <c r="DO35" s="35"/>
      <c r="DP35" s="35"/>
      <c r="DQ35" s="35"/>
      <c r="DR35" s="35"/>
      <c r="DS35" s="35"/>
      <c r="DT35" s="35"/>
      <c r="DU35" s="35"/>
      <c r="DV35" s="35"/>
      <c r="DW35" s="35"/>
      <c r="DX35" s="35"/>
      <c r="DY35" s="35"/>
      <c r="DZ35" s="35"/>
      <c r="EA35" s="35"/>
      <c r="EB35" s="35"/>
      <c r="EC35" s="35"/>
      <c r="ED35" s="35"/>
      <c r="EE35" s="35"/>
      <c r="EF35" s="35"/>
      <c r="EG35" s="35"/>
    </row>
    <row r="36" spans="1:137" s="1" customFormat="1" ht="15" hidden="1" customHeight="1">
      <c r="A36" s="35"/>
      <c r="B36" s="35"/>
      <c r="C36" s="35"/>
      <c r="D36" s="35"/>
      <c r="E36" s="35"/>
      <c r="F36" s="35"/>
      <c r="G36" s="35"/>
      <c r="H36" s="43"/>
      <c r="I36" s="43"/>
      <c r="J36" s="43"/>
      <c r="K36" s="43"/>
      <c r="L36" s="43"/>
      <c r="M36" s="43"/>
      <c r="N36" s="43"/>
      <c r="O36" s="43"/>
      <c r="P36" s="35"/>
      <c r="Q36" s="35"/>
      <c r="R36" s="35"/>
      <c r="S36" s="35"/>
      <c r="T36" s="3"/>
      <c r="U36" s="3"/>
      <c r="V36" s="3"/>
      <c r="W36" s="151" t="str">
        <f>CONCATENATE(W30,W31,W32,W33,W34,W35)</f>
        <v/>
      </c>
      <c r="X36" s="3"/>
      <c r="Y36" s="3"/>
      <c r="Z36" s="3"/>
      <c r="AA36" s="3"/>
      <c r="AB36" s="3"/>
      <c r="AC36" s="3"/>
      <c r="AD36" s="3"/>
      <c r="AE36" s="3"/>
      <c r="AF36" s="3"/>
      <c r="AG36" s="3"/>
      <c r="AH36" s="3"/>
      <c r="AI36" s="3"/>
      <c r="AJ36" s="3" t="s">
        <v>76</v>
      </c>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5"/>
      <c r="BV36" s="35"/>
      <c r="BW36" s="35"/>
      <c r="BX36" s="35"/>
      <c r="BY36" s="35"/>
      <c r="BZ36" s="35"/>
      <c r="CA36" s="35"/>
      <c r="CB36" s="35"/>
      <c r="CC36" s="35"/>
      <c r="CD36" s="35"/>
      <c r="CE36" s="35"/>
      <c r="CF36" s="35"/>
      <c r="CG36" s="35"/>
      <c r="CH36" s="35"/>
      <c r="CI36" s="35"/>
      <c r="CJ36" s="35"/>
      <c r="CK36" s="35"/>
      <c r="CL36" s="35"/>
      <c r="CM36" s="35"/>
      <c r="CN36" s="35"/>
      <c r="CO36" s="35"/>
      <c r="CP36" s="35"/>
      <c r="CQ36" s="35"/>
      <c r="CR36" s="35"/>
      <c r="CS36" s="35"/>
      <c r="CT36" s="35"/>
      <c r="CU36" s="35"/>
      <c r="CV36" s="35"/>
      <c r="CW36" s="35"/>
      <c r="CX36" s="35"/>
      <c r="CY36" s="35"/>
      <c r="CZ36" s="35"/>
      <c r="DA36" s="35"/>
      <c r="DB36" s="35"/>
      <c r="DC36" s="35"/>
      <c r="DD36" s="35"/>
      <c r="DE36" s="35"/>
      <c r="DF36" s="35"/>
      <c r="DG36" s="35"/>
      <c r="DH36" s="35"/>
      <c r="DI36" s="35"/>
      <c r="DJ36" s="35"/>
      <c r="DK36" s="35"/>
      <c r="DL36" s="35"/>
      <c r="DM36" s="35"/>
      <c r="DN36" s="35"/>
      <c r="DO36" s="35"/>
      <c r="DP36" s="35"/>
      <c r="DQ36" s="35"/>
      <c r="DR36" s="35"/>
      <c r="DS36" s="35"/>
      <c r="DT36" s="35"/>
      <c r="DU36" s="35"/>
      <c r="DV36" s="35"/>
      <c r="DW36" s="35"/>
      <c r="DX36" s="35"/>
      <c r="DY36" s="35"/>
      <c r="DZ36" s="35"/>
      <c r="EA36" s="35"/>
      <c r="EB36" s="35"/>
      <c r="EC36" s="35"/>
      <c r="ED36" s="35"/>
      <c r="EE36" s="35"/>
      <c r="EF36" s="35"/>
      <c r="EG36" s="35"/>
    </row>
    <row r="37" spans="1:137" s="1" customFormat="1" ht="15" hidden="1" customHeight="1">
      <c r="A37" s="35"/>
      <c r="B37" s="146"/>
      <c r="C37" s="146"/>
      <c r="D37" s="146"/>
      <c r="E37" s="146"/>
      <c r="F37" s="146"/>
      <c r="G37" s="146"/>
      <c r="H37" s="146"/>
      <c r="I37" s="146"/>
      <c r="J37" s="144"/>
      <c r="K37" s="146"/>
      <c r="L37" s="146"/>
      <c r="M37" s="146"/>
      <c r="N37" s="146"/>
      <c r="O37" s="145"/>
      <c r="P37" s="35"/>
      <c r="Q37" s="95"/>
      <c r="R37" s="95"/>
      <c r="S37" s="35"/>
      <c r="T37" s="3"/>
      <c r="U37" s="3"/>
      <c r="V37" s="3"/>
      <c r="W37" s="3"/>
      <c r="X37" s="3" t="b">
        <f>IF(OR(T65=TRUE,T67=TRUE,T68=TRUE,U65=TRUE,U67=TRUE,U68=TRUE),TRUE,FALSE)</f>
        <v>0</v>
      </c>
      <c r="Y37" s="3"/>
      <c r="Z37" s="3"/>
      <c r="AA37" s="3"/>
      <c r="AB37" s="3"/>
      <c r="AC37" s="3"/>
      <c r="AD37" s="3"/>
      <c r="AE37" s="3"/>
      <c r="AF37" s="3"/>
      <c r="AG37" s="3"/>
      <c r="AH37" s="3"/>
      <c r="AI37" s="3"/>
      <c r="AJ37" s="3" t="s">
        <v>112</v>
      </c>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5"/>
      <c r="BV37" s="35"/>
      <c r="BW37" s="35"/>
      <c r="BX37" s="35"/>
      <c r="BY37" s="35"/>
      <c r="BZ37" s="35"/>
      <c r="CA37" s="35"/>
      <c r="CB37" s="35"/>
      <c r="CC37" s="35"/>
      <c r="CD37" s="35"/>
      <c r="CE37" s="35"/>
      <c r="CF37" s="35"/>
      <c r="CG37" s="35"/>
      <c r="CH37" s="35"/>
      <c r="CI37" s="35"/>
      <c r="CJ37" s="35"/>
      <c r="CK37" s="35"/>
      <c r="CL37" s="35"/>
      <c r="CM37" s="35"/>
      <c r="CN37" s="35"/>
      <c r="CO37" s="35"/>
      <c r="CP37" s="35"/>
      <c r="CQ37" s="35"/>
      <c r="CR37" s="35"/>
      <c r="CS37" s="35"/>
      <c r="CT37" s="35"/>
      <c r="CU37" s="35"/>
      <c r="CV37" s="35"/>
      <c r="CW37" s="35"/>
      <c r="CX37" s="35"/>
      <c r="CY37" s="35"/>
      <c r="CZ37" s="35"/>
      <c r="DA37" s="35"/>
      <c r="DB37" s="35"/>
      <c r="DC37" s="35"/>
      <c r="DD37" s="35"/>
      <c r="DE37" s="35"/>
      <c r="DF37" s="35"/>
      <c r="DG37" s="35"/>
      <c r="DH37" s="35"/>
      <c r="DI37" s="35"/>
      <c r="DJ37" s="35"/>
      <c r="DK37" s="35"/>
      <c r="DL37" s="35"/>
      <c r="DM37" s="35"/>
      <c r="DN37" s="35"/>
      <c r="DO37" s="35"/>
      <c r="DP37" s="35"/>
      <c r="DQ37" s="35"/>
      <c r="DR37" s="35"/>
      <c r="DS37" s="35"/>
      <c r="DT37" s="35"/>
      <c r="DU37" s="35"/>
      <c r="DV37" s="35"/>
      <c r="DW37" s="35"/>
      <c r="DX37" s="35"/>
      <c r="DY37" s="35"/>
      <c r="DZ37" s="35"/>
      <c r="EA37" s="35"/>
      <c r="EB37" s="35"/>
      <c r="EC37" s="35"/>
      <c r="ED37" s="35"/>
      <c r="EE37" s="35"/>
      <c r="EF37" s="35"/>
      <c r="EG37" s="35"/>
    </row>
    <row r="38" spans="1:137" s="1" customFormat="1" ht="15" hidden="1" customHeight="1">
      <c r="A38" s="35"/>
      <c r="B38" s="35"/>
      <c r="C38" s="95"/>
      <c r="D38" s="95"/>
      <c r="E38" s="95"/>
      <c r="F38" s="95"/>
      <c r="G38" s="95"/>
      <c r="H38" s="95"/>
      <c r="J38" s="95"/>
      <c r="K38" s="95"/>
      <c r="L38" s="95"/>
      <c r="M38" s="95"/>
      <c r="N38" s="95"/>
      <c r="O38" s="95"/>
      <c r="P38" s="95"/>
      <c r="Q38" s="95"/>
      <c r="R38" s="95"/>
      <c r="S38" s="35"/>
      <c r="T38" s="3"/>
      <c r="U38" s="3"/>
      <c r="V38" s="3"/>
      <c r="W38" s="3"/>
      <c r="X38" s="3" t="str">
        <f>IF(X37=TRUE,"navngitt","navngitte")</f>
        <v>navngitte</v>
      </c>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5"/>
      <c r="BV38" s="35"/>
      <c r="BW38" s="35"/>
      <c r="BX38" s="35"/>
      <c r="BY38" s="35"/>
      <c r="BZ38" s="35"/>
      <c r="CA38" s="35"/>
      <c r="CB38" s="35"/>
      <c r="CC38" s="35"/>
      <c r="CD38" s="35"/>
      <c r="CE38" s="35"/>
      <c r="CF38" s="35"/>
      <c r="CG38" s="35"/>
      <c r="CH38" s="35"/>
      <c r="CI38" s="35"/>
      <c r="CJ38" s="35"/>
      <c r="CK38" s="35"/>
      <c r="CL38" s="35"/>
      <c r="CM38" s="35"/>
      <c r="CN38" s="35"/>
      <c r="CO38" s="35"/>
      <c r="CP38" s="35"/>
      <c r="CQ38" s="35"/>
      <c r="CR38" s="35"/>
      <c r="CS38" s="35"/>
      <c r="CT38" s="35"/>
      <c r="CU38" s="35"/>
      <c r="CV38" s="35"/>
      <c r="CW38" s="35"/>
      <c r="CX38" s="35"/>
      <c r="CY38" s="35"/>
      <c r="CZ38" s="35"/>
      <c r="DA38" s="35"/>
      <c r="DB38" s="35"/>
      <c r="DC38" s="35"/>
      <c r="DD38" s="35"/>
      <c r="DE38" s="35"/>
      <c r="DF38" s="35"/>
      <c r="DG38" s="35"/>
      <c r="DH38" s="35"/>
      <c r="DI38" s="35"/>
      <c r="DJ38" s="35"/>
      <c r="DK38" s="35"/>
      <c r="DL38" s="35"/>
      <c r="DM38" s="35"/>
      <c r="DN38" s="35"/>
      <c r="DO38" s="35"/>
      <c r="DP38" s="35"/>
      <c r="DQ38" s="35"/>
      <c r="DR38" s="35"/>
      <c r="DS38" s="35"/>
      <c r="DT38" s="35"/>
      <c r="DU38" s="35"/>
      <c r="DV38" s="35"/>
      <c r="DW38" s="35"/>
      <c r="DX38" s="35"/>
      <c r="DY38" s="35"/>
      <c r="DZ38" s="35"/>
      <c r="EA38" s="35"/>
      <c r="EB38" s="35"/>
      <c r="EC38" s="35"/>
      <c r="ED38" s="35"/>
      <c r="EE38" s="35"/>
      <c r="EF38" s="35"/>
      <c r="EG38" s="35"/>
    </row>
    <row r="39" spans="1:137" s="1" customFormat="1" ht="15" hidden="1" customHeight="1">
      <c r="A39" s="35"/>
      <c r="B39" s="116"/>
      <c r="C39" s="144"/>
      <c r="D39" s="144"/>
      <c r="E39" s="144"/>
      <c r="F39" s="144"/>
      <c r="G39" s="144"/>
      <c r="H39" s="146"/>
      <c r="I39" s="144"/>
      <c r="J39" s="144"/>
      <c r="K39" s="95"/>
      <c r="L39" s="95"/>
      <c r="M39" s="95"/>
      <c r="N39" s="144"/>
      <c r="O39" s="144"/>
      <c r="P39" s="144"/>
      <c r="Q39" s="95"/>
      <c r="R39" s="95"/>
      <c r="S39" s="35"/>
      <c r="T39" s="3"/>
      <c r="U39" s="3"/>
      <c r="V39" s="3"/>
      <c r="W39" s="3"/>
      <c r="X39" s="3"/>
      <c r="Y39" s="3"/>
      <c r="Z39" s="3"/>
      <c r="AA39" s="3"/>
      <c r="AB39" s="3"/>
      <c r="AC39" s="3"/>
      <c r="AD39" s="3"/>
      <c r="AE39" s="3"/>
      <c r="AF39" s="3"/>
      <c r="AG39" s="3"/>
      <c r="AH39" s="3"/>
      <c r="AI39" s="3"/>
      <c r="AJ39" s="142"/>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5"/>
      <c r="BV39" s="35"/>
      <c r="BW39" s="35"/>
      <c r="BX39" s="35"/>
      <c r="BY39" s="35"/>
      <c r="BZ39" s="35"/>
      <c r="CA39" s="35"/>
      <c r="CB39" s="35"/>
      <c r="CC39" s="35"/>
      <c r="CD39" s="35"/>
      <c r="CE39" s="35"/>
      <c r="CF39" s="35"/>
      <c r="CG39" s="35"/>
      <c r="CH39" s="35"/>
      <c r="CI39" s="35"/>
      <c r="CJ39" s="35"/>
      <c r="CK39" s="35"/>
      <c r="CL39" s="35"/>
      <c r="CM39" s="35"/>
      <c r="CN39" s="35"/>
      <c r="CO39" s="35"/>
      <c r="CP39" s="35"/>
      <c r="CQ39" s="35"/>
      <c r="CR39" s="35"/>
      <c r="CS39" s="35"/>
      <c r="CT39" s="35"/>
      <c r="CU39" s="35"/>
      <c r="CV39" s="35"/>
      <c r="CW39" s="35"/>
      <c r="CX39" s="35"/>
      <c r="CY39" s="35"/>
      <c r="CZ39" s="35"/>
      <c r="DA39" s="35"/>
      <c r="DB39" s="35"/>
      <c r="DC39" s="35"/>
      <c r="DD39" s="35"/>
      <c r="DE39" s="35"/>
      <c r="DF39" s="35"/>
      <c r="DG39" s="35"/>
      <c r="DH39" s="35"/>
      <c r="DI39" s="35"/>
      <c r="DJ39" s="35"/>
      <c r="DK39" s="35"/>
      <c r="DL39" s="35"/>
      <c r="DM39" s="35"/>
      <c r="DN39" s="35"/>
      <c r="DO39" s="35"/>
      <c r="DP39" s="35"/>
      <c r="DQ39" s="35"/>
      <c r="DR39" s="35"/>
      <c r="DS39" s="35"/>
      <c r="DT39" s="35"/>
      <c r="DU39" s="35"/>
      <c r="DV39" s="35"/>
      <c r="DW39" s="35"/>
      <c r="DX39" s="35"/>
      <c r="DY39" s="35"/>
      <c r="DZ39" s="35"/>
      <c r="EA39" s="35"/>
      <c r="EB39" s="35"/>
      <c r="EC39" s="35"/>
      <c r="ED39" s="35"/>
      <c r="EE39" s="35"/>
      <c r="EF39" s="35"/>
      <c r="EG39" s="35"/>
    </row>
    <row r="40" spans="1:137" s="1" customFormat="1" ht="15" hidden="1" customHeight="1">
      <c r="A40" s="35"/>
      <c r="B40" s="116"/>
      <c r="C40" s="144"/>
      <c r="D40" s="144"/>
      <c r="E40" s="144"/>
      <c r="F40" s="144"/>
      <c r="G40" s="144"/>
      <c r="H40" s="144"/>
      <c r="I40" s="144"/>
      <c r="J40" s="144"/>
      <c r="K40" s="95"/>
      <c r="L40" s="95"/>
      <c r="M40" s="95"/>
      <c r="N40" s="144"/>
      <c r="O40" s="95"/>
      <c r="P40" s="95"/>
      <c r="Q40" s="95"/>
      <c r="R40" s="95"/>
      <c r="S40" s="35"/>
      <c r="T40" s="3"/>
      <c r="U40" s="3"/>
      <c r="V40" s="3"/>
      <c r="W40" s="3" t="s">
        <v>100</v>
      </c>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5"/>
      <c r="BV40" s="35"/>
      <c r="BW40" s="35"/>
      <c r="BX40" s="35"/>
      <c r="BY40" s="35"/>
      <c r="BZ40" s="35"/>
      <c r="CA40" s="35"/>
      <c r="CB40" s="35"/>
      <c r="CC40" s="35"/>
      <c r="CD40" s="35"/>
      <c r="CE40" s="35"/>
      <c r="CF40" s="35"/>
      <c r="CG40" s="35"/>
      <c r="CH40" s="35"/>
      <c r="CI40" s="35"/>
      <c r="CJ40" s="35"/>
      <c r="CK40" s="35"/>
      <c r="CL40" s="35"/>
      <c r="CM40" s="35"/>
      <c r="CN40" s="35"/>
      <c r="CO40" s="35"/>
      <c r="CP40" s="35"/>
      <c r="CQ40" s="35"/>
      <c r="CR40" s="35"/>
      <c r="CS40" s="35"/>
      <c r="CT40" s="35"/>
      <c r="CU40" s="35"/>
      <c r="CV40" s="35"/>
      <c r="CW40" s="35"/>
      <c r="CX40" s="35"/>
      <c r="CY40" s="35"/>
      <c r="CZ40" s="35"/>
      <c r="DA40" s="35"/>
      <c r="DB40" s="35"/>
      <c r="DC40" s="35"/>
      <c r="DD40" s="35"/>
      <c r="DE40" s="35"/>
      <c r="DF40" s="35"/>
      <c r="DG40" s="35"/>
      <c r="DH40" s="35"/>
      <c r="DI40" s="35"/>
      <c r="DJ40" s="35"/>
      <c r="DK40" s="35"/>
      <c r="DL40" s="35"/>
      <c r="DM40" s="35"/>
      <c r="DN40" s="35"/>
      <c r="DO40" s="35"/>
      <c r="DP40" s="35"/>
      <c r="DQ40" s="35"/>
      <c r="DR40" s="35"/>
      <c r="DS40" s="35"/>
      <c r="DT40" s="35"/>
      <c r="DU40" s="35"/>
      <c r="DV40" s="35"/>
      <c r="DW40" s="35"/>
      <c r="DX40" s="35"/>
      <c r="DY40" s="35"/>
      <c r="DZ40" s="35"/>
      <c r="EA40" s="35"/>
      <c r="EB40" s="35"/>
      <c r="EC40" s="35"/>
      <c r="ED40" s="35"/>
      <c r="EE40" s="35"/>
      <c r="EF40" s="35"/>
      <c r="EG40" s="35"/>
    </row>
    <row r="41" spans="1:137" s="1" customFormat="1" ht="21" hidden="1" customHeight="1">
      <c r="A41" s="35"/>
      <c r="B41" s="116"/>
      <c r="C41" s="144"/>
      <c r="D41" s="144"/>
      <c r="E41" s="144"/>
      <c r="F41" s="144"/>
      <c r="G41" s="144"/>
      <c r="H41" s="144"/>
      <c r="I41" s="144"/>
      <c r="J41" s="144"/>
      <c r="K41" s="95"/>
      <c r="L41" s="95"/>
      <c r="M41" s="95"/>
      <c r="N41" s="95"/>
      <c r="O41" s="95"/>
      <c r="P41" s="95"/>
      <c r="Q41" s="95"/>
      <c r="R41" s="95"/>
      <c r="S41" s="35"/>
      <c r="T41" s="3"/>
      <c r="U41" s="3"/>
      <c r="V41" s="3"/>
      <c r="W41" s="3" t="str">
        <f>IF(R60=1,"",IF(AND(V5=2,R48=3),"Følgende produkter tilfredsstiller krav som stilles til "&amp;W73&amp;" i emne «HEA 9 - Forurensning i innemiljø».",IF(AND(V5=3,R48=3),"Følgende produkter tilfredsstiller krav som stilles til "&amp;W73&amp;" i emne «HEA 02 - Inneluftkvalitet».","Følgende "&amp;W73&amp;" tilfredsstiller minimumskrav til miljøgifter i sjekkliste A20")))</f>
        <v/>
      </c>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5"/>
      <c r="BV41" s="35"/>
      <c r="BW41" s="35"/>
      <c r="BX41" s="35"/>
      <c r="BY41" s="35"/>
      <c r="BZ41" s="35"/>
      <c r="CA41" s="35"/>
      <c r="CB41" s="35"/>
      <c r="CC41" s="35"/>
      <c r="CD41" s="35"/>
      <c r="CE41" s="35"/>
      <c r="CF41" s="35"/>
      <c r="CG41" s="35"/>
      <c r="CH41" s="35"/>
      <c r="CI41" s="35"/>
      <c r="CJ41" s="35"/>
      <c r="CK41" s="35"/>
      <c r="CL41" s="35"/>
      <c r="CM41" s="35"/>
      <c r="CN41" s="35"/>
      <c r="CO41" s="35"/>
      <c r="CP41" s="35"/>
      <c r="CQ41" s="35"/>
      <c r="CR41" s="35"/>
      <c r="CS41" s="35"/>
      <c r="CT41" s="35"/>
      <c r="CU41" s="35"/>
      <c r="CV41" s="35"/>
      <c r="CW41" s="35"/>
      <c r="CX41" s="35"/>
      <c r="CY41" s="35"/>
      <c r="CZ41" s="35"/>
      <c r="DA41" s="35"/>
      <c r="DB41" s="35"/>
      <c r="DC41" s="35"/>
      <c r="DD41" s="35"/>
      <c r="DE41" s="35"/>
      <c r="DF41" s="35"/>
      <c r="DG41" s="35"/>
      <c r="DH41" s="35"/>
      <c r="DI41" s="35"/>
      <c r="DJ41" s="35"/>
      <c r="DK41" s="35"/>
      <c r="DL41" s="35"/>
      <c r="DM41" s="35"/>
      <c r="DN41" s="35"/>
      <c r="DO41" s="35"/>
      <c r="DP41" s="35"/>
      <c r="DQ41" s="35"/>
      <c r="DR41" s="35"/>
      <c r="DS41" s="35"/>
      <c r="DT41" s="35"/>
      <c r="DU41" s="35"/>
      <c r="DV41" s="35"/>
      <c r="DW41" s="35"/>
      <c r="DX41" s="35"/>
      <c r="DY41" s="35"/>
      <c r="DZ41" s="35"/>
      <c r="EA41" s="35"/>
      <c r="EB41" s="35"/>
      <c r="EC41" s="35"/>
      <c r="ED41" s="35"/>
      <c r="EE41" s="35"/>
      <c r="EF41" s="35"/>
      <c r="EG41" s="35"/>
    </row>
    <row r="42" spans="1:137" s="1" customFormat="1" ht="15" hidden="1" customHeight="1">
      <c r="A42" s="35"/>
      <c r="B42" s="116"/>
      <c r="C42" s="144"/>
      <c r="D42" s="144"/>
      <c r="E42" s="144"/>
      <c r="F42" s="144"/>
      <c r="G42" s="144"/>
      <c r="H42" s="144"/>
      <c r="I42" s="144"/>
      <c r="J42" s="144"/>
      <c r="K42" s="95"/>
      <c r="L42" s="95"/>
      <c r="M42" s="95"/>
      <c r="N42" s="95"/>
      <c r="O42" s="95"/>
      <c r="P42" s="95"/>
      <c r="Q42" s="95"/>
      <c r="R42" s="95"/>
      <c r="S42" s="35"/>
      <c r="T42" s="3"/>
      <c r="U42" s="3"/>
      <c r="V42" s="3"/>
      <c r="W42" s="3" t="str">
        <f>IF(R48=1,"",IF(R60=1,"",IF(T69=TRUE,"",IF(T70=TRUE,"","(her kan alle typer "&amp;W73&amp;" fra produsenten som tilfredsstiller kriteriene nedenfor listes opp, og på den måten slippe å fylle ut ett skjema for hvert produkt):"))))</f>
        <v/>
      </c>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5"/>
      <c r="BV42" s="35"/>
      <c r="BW42" s="35"/>
      <c r="BX42" s="35"/>
      <c r="BY42" s="35"/>
      <c r="BZ42" s="35"/>
      <c r="CA42" s="35"/>
      <c r="CB42" s="35"/>
      <c r="CC42" s="35"/>
      <c r="CD42" s="35"/>
      <c r="CE42" s="35"/>
      <c r="CF42" s="35"/>
      <c r="CG42" s="35"/>
      <c r="CH42" s="35"/>
      <c r="CI42" s="35"/>
      <c r="CJ42" s="35"/>
      <c r="CK42" s="35"/>
      <c r="CL42" s="35"/>
      <c r="CM42" s="35"/>
      <c r="CN42" s="35"/>
      <c r="CO42" s="35"/>
      <c r="CP42" s="35"/>
      <c r="CQ42" s="35"/>
      <c r="CR42" s="35"/>
      <c r="CS42" s="35"/>
      <c r="CT42" s="35"/>
      <c r="CU42" s="35"/>
      <c r="CV42" s="35"/>
      <c r="CW42" s="35"/>
      <c r="CX42" s="35"/>
      <c r="CY42" s="35"/>
      <c r="CZ42" s="35"/>
      <c r="DA42" s="35"/>
      <c r="DB42" s="35"/>
      <c r="DC42" s="35"/>
      <c r="DD42" s="35"/>
      <c r="DE42" s="35"/>
      <c r="DF42" s="35"/>
      <c r="DG42" s="35"/>
      <c r="DH42" s="35"/>
      <c r="DI42" s="35"/>
      <c r="DJ42" s="35"/>
      <c r="DK42" s="35"/>
      <c r="DL42" s="35"/>
      <c r="DM42" s="35"/>
      <c r="DN42" s="35"/>
      <c r="DO42" s="35"/>
      <c r="DP42" s="35"/>
      <c r="DQ42" s="35"/>
      <c r="DR42" s="35"/>
      <c r="DS42" s="35"/>
      <c r="DT42" s="35"/>
      <c r="DU42" s="35"/>
      <c r="DV42" s="35"/>
      <c r="DW42" s="35"/>
      <c r="DX42" s="35"/>
      <c r="DY42" s="35"/>
      <c r="DZ42" s="35"/>
      <c r="EA42" s="35"/>
      <c r="EB42" s="35"/>
      <c r="EC42" s="35"/>
      <c r="ED42" s="35"/>
      <c r="EE42" s="35"/>
      <c r="EF42" s="35"/>
      <c r="EG42" s="35"/>
    </row>
    <row r="43" spans="1:137" s="1" customFormat="1" ht="7.5" hidden="1" customHeight="1">
      <c r="A43" s="35"/>
      <c r="B43" s="116"/>
      <c r="C43" s="116"/>
      <c r="D43" s="147"/>
      <c r="E43" s="147"/>
      <c r="F43" s="147"/>
      <c r="G43" s="147"/>
      <c r="H43" s="148"/>
      <c r="I43" s="148"/>
      <c r="J43" s="148"/>
      <c r="K43" s="122"/>
      <c r="L43" s="122"/>
      <c r="M43" s="122"/>
      <c r="N43" s="122"/>
      <c r="O43" s="35"/>
      <c r="P43" s="35"/>
      <c r="Q43" s="35"/>
      <c r="R43" s="35"/>
      <c r="S43" s="35"/>
      <c r="T43" s="3"/>
      <c r="U43" s="3"/>
      <c r="V43" s="3"/>
      <c r="W43" s="151" t="str">
        <f>IF(AND(V5=3,R48=2,R60=4),W40,IF(R48=1,"",IF(AND(V5=2,R48=2,R60=10),"",IF(AND(V5=2,R48=2,R60=9),"",IF(AND(V5=2,R48=2,R60=11),"",IF(AND(V5=2,R48=3,R60=11),"",IF(AND(V5=2,R48=3,R60=12),"",IF(AND(V5=3,R48=3,R60=12),"",CONCATENATE(W41," ",W42)))))))))</f>
        <v/>
      </c>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5"/>
      <c r="BV43" s="35"/>
      <c r="BW43" s="35"/>
      <c r="BX43" s="35"/>
      <c r="BY43" s="35"/>
      <c r="BZ43" s="35"/>
      <c r="CA43" s="35"/>
      <c r="CB43" s="35"/>
      <c r="CC43" s="35"/>
      <c r="CD43" s="35"/>
      <c r="CE43" s="35"/>
      <c r="CF43" s="35"/>
      <c r="CG43" s="35"/>
      <c r="CH43" s="35"/>
      <c r="CI43" s="35"/>
      <c r="CJ43" s="35"/>
      <c r="CK43" s="35"/>
      <c r="CL43" s="35"/>
      <c r="CM43" s="35"/>
      <c r="CN43" s="35"/>
      <c r="CO43" s="35"/>
      <c r="CP43" s="35"/>
      <c r="CQ43" s="35"/>
      <c r="CR43" s="35"/>
      <c r="CS43" s="35"/>
      <c r="CT43" s="35"/>
      <c r="CU43" s="35"/>
      <c r="CV43" s="35"/>
      <c r="CW43" s="35"/>
      <c r="CX43" s="35"/>
      <c r="CY43" s="35"/>
      <c r="CZ43" s="35"/>
      <c r="DA43" s="35"/>
      <c r="DB43" s="35"/>
      <c r="DC43" s="35"/>
      <c r="DD43" s="35"/>
      <c r="DE43" s="35"/>
      <c r="DF43" s="35"/>
      <c r="DG43" s="35"/>
      <c r="DH43" s="35"/>
      <c r="DI43" s="35"/>
      <c r="DJ43" s="35"/>
      <c r="DK43" s="35"/>
      <c r="DL43" s="35"/>
      <c r="DM43" s="35"/>
      <c r="DN43" s="35"/>
      <c r="DO43" s="35"/>
      <c r="DP43" s="35"/>
      <c r="DQ43" s="35"/>
      <c r="DR43" s="35"/>
      <c r="DS43" s="35"/>
      <c r="DT43" s="35"/>
      <c r="DU43" s="35"/>
      <c r="DV43" s="35"/>
      <c r="DW43" s="35"/>
      <c r="DX43" s="35"/>
      <c r="DY43" s="35"/>
      <c r="DZ43" s="35"/>
      <c r="EA43" s="35"/>
      <c r="EB43" s="35"/>
      <c r="EC43" s="35"/>
      <c r="ED43" s="35"/>
      <c r="EE43" s="35"/>
      <c r="EF43" s="35"/>
      <c r="EG43" s="35"/>
    </row>
    <row r="44" spans="1:137" s="1" customFormat="1" ht="15" hidden="1" customHeight="1">
      <c r="A44" s="35"/>
      <c r="B44" s="116"/>
      <c r="C44" s="149"/>
      <c r="D44" s="149"/>
      <c r="E44" s="149"/>
      <c r="F44" s="149"/>
      <c r="G44" s="149"/>
      <c r="H44" s="149"/>
      <c r="I44" s="149"/>
      <c r="J44" s="149"/>
      <c r="K44" s="114"/>
      <c r="L44" s="114"/>
      <c r="M44" s="114"/>
      <c r="N44" s="114"/>
      <c r="O44" s="114"/>
      <c r="P44" s="114"/>
      <c r="Q44" s="114"/>
      <c r="R44" s="114"/>
      <c r="S44" s="35"/>
      <c r="T44" s="3"/>
      <c r="U44" s="3"/>
      <c r="V44" s="3"/>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5"/>
      <c r="BV44" s="35"/>
      <c r="BW44" s="35"/>
      <c r="BX44" s="35"/>
      <c r="BY44" s="35"/>
      <c r="BZ44" s="35"/>
      <c r="CA44" s="35"/>
      <c r="CB44" s="35"/>
      <c r="CC44" s="35"/>
      <c r="CD44" s="35"/>
      <c r="CE44" s="35"/>
      <c r="CF44" s="35"/>
      <c r="CG44" s="35"/>
      <c r="CH44" s="35"/>
      <c r="CI44" s="35"/>
      <c r="CJ44" s="35"/>
      <c r="CK44" s="35"/>
      <c r="CL44" s="35"/>
      <c r="CM44" s="35"/>
      <c r="CN44" s="35"/>
      <c r="CO44" s="35"/>
      <c r="CP44" s="35"/>
      <c r="CQ44" s="35"/>
      <c r="CR44" s="35"/>
      <c r="CS44" s="35"/>
      <c r="CT44" s="35"/>
      <c r="CU44" s="35"/>
      <c r="CV44" s="35"/>
      <c r="CW44" s="35"/>
      <c r="CX44" s="35"/>
      <c r="CY44" s="35"/>
      <c r="CZ44" s="35"/>
      <c r="DA44" s="35"/>
      <c r="DB44" s="35"/>
      <c r="DC44" s="35"/>
      <c r="DD44" s="35"/>
      <c r="DE44" s="35"/>
      <c r="DF44" s="35"/>
      <c r="DG44" s="35"/>
      <c r="DH44" s="35"/>
      <c r="DI44" s="35"/>
      <c r="DJ44" s="35"/>
      <c r="DK44" s="35"/>
      <c r="DL44" s="35"/>
      <c r="DM44" s="35"/>
      <c r="DN44" s="35"/>
      <c r="DO44" s="35"/>
      <c r="DP44" s="35"/>
      <c r="DQ44" s="35"/>
      <c r="DR44" s="35"/>
      <c r="DS44" s="35"/>
      <c r="DT44" s="35"/>
      <c r="DU44" s="35"/>
      <c r="DV44" s="35"/>
      <c r="DW44" s="35"/>
      <c r="DX44" s="35"/>
      <c r="DY44" s="35"/>
      <c r="DZ44" s="35"/>
      <c r="EA44" s="35"/>
      <c r="EB44" s="35"/>
      <c r="EC44" s="35"/>
      <c r="ED44" s="35"/>
      <c r="EE44" s="35"/>
      <c r="EF44" s="35"/>
      <c r="EG44" s="35"/>
    </row>
    <row r="45" spans="1:137" s="1" customFormat="1" ht="15" hidden="1" customHeight="1">
      <c r="A45" s="35"/>
      <c r="B45" s="116"/>
      <c r="C45" s="149"/>
      <c r="D45" s="149"/>
      <c r="E45" s="149"/>
      <c r="F45" s="149"/>
      <c r="G45" s="149"/>
      <c r="H45" s="149"/>
      <c r="I45" s="149"/>
      <c r="J45" s="149"/>
      <c r="K45" s="114"/>
      <c r="L45" s="114"/>
      <c r="M45" s="114"/>
      <c r="N45" s="114"/>
      <c r="O45" s="114"/>
      <c r="P45" s="114"/>
      <c r="Q45" s="114"/>
      <c r="R45" s="114"/>
      <c r="S45" s="35"/>
      <c r="T45" s="3"/>
      <c r="U45" s="3"/>
      <c r="V45" s="3"/>
      <c r="W45" s="3" t="str">
        <f>W41</f>
        <v/>
      </c>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5"/>
      <c r="BV45" s="35"/>
      <c r="BW45" s="35"/>
      <c r="BX45" s="35"/>
      <c r="BY45" s="35"/>
      <c r="BZ45" s="35"/>
      <c r="CA45" s="35"/>
      <c r="CB45" s="35"/>
      <c r="CC45" s="35"/>
      <c r="CD45" s="35"/>
      <c r="CE45" s="35"/>
      <c r="CF45" s="35"/>
      <c r="CG45" s="35"/>
      <c r="CH45" s="35"/>
      <c r="CI45" s="35"/>
      <c r="CJ45" s="35"/>
      <c r="CK45" s="35"/>
      <c r="CL45" s="35"/>
      <c r="CM45" s="35"/>
      <c r="CN45" s="35"/>
      <c r="CO45" s="35"/>
      <c r="CP45" s="35"/>
      <c r="CQ45" s="35"/>
      <c r="CR45" s="35"/>
      <c r="CS45" s="35"/>
      <c r="CT45" s="35"/>
      <c r="CU45" s="35"/>
      <c r="CV45" s="35"/>
      <c r="CW45" s="35"/>
      <c r="CX45" s="35"/>
      <c r="CY45" s="35"/>
      <c r="CZ45" s="35"/>
      <c r="DA45" s="35"/>
      <c r="DB45" s="35"/>
      <c r="DC45" s="35"/>
      <c r="DD45" s="35"/>
      <c r="DE45" s="35"/>
      <c r="DF45" s="35"/>
      <c r="DG45" s="35"/>
      <c r="DH45" s="35"/>
      <c r="DI45" s="35"/>
      <c r="DJ45" s="35"/>
      <c r="DK45" s="35"/>
      <c r="DL45" s="35"/>
      <c r="DM45" s="35"/>
      <c r="DN45" s="35"/>
      <c r="DO45" s="35"/>
      <c r="DP45" s="35"/>
      <c r="DQ45" s="35"/>
      <c r="DR45" s="35"/>
      <c r="DS45" s="35"/>
      <c r="DT45" s="35"/>
      <c r="DU45" s="35"/>
      <c r="DV45" s="35"/>
      <c r="DW45" s="35"/>
      <c r="DX45" s="35"/>
      <c r="DY45" s="35"/>
      <c r="DZ45" s="35"/>
      <c r="EA45" s="35"/>
      <c r="EB45" s="35"/>
      <c r="EC45" s="35"/>
      <c r="ED45" s="35"/>
      <c r="EE45" s="35"/>
      <c r="EF45" s="35"/>
      <c r="EG45" s="35"/>
    </row>
    <row r="46" spans="1:137" s="1" customFormat="1" ht="15" hidden="1" customHeight="1">
      <c r="A46" s="35"/>
      <c r="B46" s="116"/>
      <c r="C46" s="149"/>
      <c r="D46" s="149"/>
      <c r="E46" s="149"/>
      <c r="F46" s="149"/>
      <c r="G46" s="149"/>
      <c r="H46" s="149"/>
      <c r="I46" s="149"/>
      <c r="J46" s="149"/>
      <c r="K46" s="114"/>
      <c r="L46" s="114"/>
      <c r="M46" s="114"/>
      <c r="N46" s="114"/>
      <c r="O46" s="114"/>
      <c r="P46" s="114"/>
      <c r="Q46" s="114"/>
      <c r="R46" s="114"/>
      <c r="S46" s="35"/>
      <c r="T46" s="3">
        <v>2</v>
      </c>
      <c r="U46" s="3"/>
      <c r="V46" s="3"/>
      <c r="W46" s="3"/>
      <c r="X46" s="3"/>
      <c r="Y46" s="3"/>
      <c r="Z46" s="3">
        <f>LEN(AB46)</f>
        <v>120</v>
      </c>
      <c r="AA46" s="3"/>
      <c r="AB46" s="3" t="s">
        <v>11</v>
      </c>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5"/>
      <c r="BV46" s="35"/>
      <c r="BW46" s="35"/>
      <c r="BX46" s="35"/>
      <c r="BY46" s="35"/>
      <c r="BZ46" s="35"/>
      <c r="CA46" s="35"/>
      <c r="CB46" s="35"/>
      <c r="CC46" s="35"/>
      <c r="CD46" s="35"/>
      <c r="CE46" s="35"/>
      <c r="CF46" s="35"/>
      <c r="CG46" s="35"/>
      <c r="CH46" s="35"/>
      <c r="CI46" s="35"/>
      <c r="CJ46" s="35"/>
      <c r="CK46" s="35"/>
      <c r="CL46" s="35"/>
      <c r="CM46" s="35"/>
      <c r="CN46" s="35"/>
      <c r="CO46" s="35"/>
      <c r="CP46" s="35"/>
      <c r="CQ46" s="35"/>
      <c r="CR46" s="35"/>
      <c r="CS46" s="35"/>
      <c r="CT46" s="35"/>
      <c r="CU46" s="35"/>
      <c r="CV46" s="35"/>
      <c r="CW46" s="35"/>
      <c r="CX46" s="35"/>
      <c r="CY46" s="35"/>
      <c r="CZ46" s="35"/>
      <c r="DA46" s="35"/>
      <c r="DB46" s="35"/>
      <c r="DC46" s="35"/>
      <c r="DD46" s="35"/>
      <c r="DE46" s="35"/>
      <c r="DF46" s="35"/>
      <c r="DG46" s="35"/>
      <c r="DH46" s="35"/>
      <c r="DI46" s="35"/>
      <c r="DJ46" s="35"/>
      <c r="DK46" s="35"/>
      <c r="DL46" s="35"/>
      <c r="DM46" s="35"/>
      <c r="DN46" s="35"/>
      <c r="DO46" s="35"/>
      <c r="DP46" s="35"/>
      <c r="DQ46" s="35"/>
      <c r="DR46" s="35"/>
      <c r="DS46" s="35"/>
      <c r="DT46" s="35"/>
      <c r="DU46" s="35"/>
      <c r="DV46" s="35"/>
      <c r="DW46" s="35"/>
      <c r="DX46" s="35"/>
      <c r="DY46" s="35"/>
      <c r="DZ46" s="35"/>
      <c r="EA46" s="35"/>
      <c r="EB46" s="35"/>
      <c r="EC46" s="35"/>
      <c r="ED46" s="35"/>
      <c r="EE46" s="35"/>
      <c r="EF46" s="35"/>
      <c r="EG46" s="35"/>
    </row>
    <row r="47" spans="1:137" s="3" customFormat="1" ht="8.25" hidden="1" customHeight="1">
      <c r="H47" s="4"/>
      <c r="I47" s="4"/>
      <c r="J47" s="4"/>
      <c r="K47" s="4"/>
      <c r="L47" s="4"/>
      <c r="M47" s="4"/>
      <c r="N47" s="4"/>
      <c r="Z47" s="3">
        <f>LEN(AB47)</f>
        <v>253</v>
      </c>
      <c r="AB47" s="3" t="s">
        <v>12</v>
      </c>
      <c r="BU47" s="20"/>
      <c r="BV47" s="20"/>
      <c r="BW47" s="20"/>
      <c r="BX47" s="20"/>
      <c r="BY47" s="20"/>
      <c r="BZ47" s="20"/>
      <c r="CA47" s="20"/>
      <c r="CB47" s="20"/>
      <c r="CC47" s="20"/>
      <c r="CD47" s="20"/>
      <c r="CE47" s="20"/>
      <c r="CF47" s="20"/>
      <c r="CG47" s="20"/>
      <c r="CH47" s="20"/>
      <c r="CI47" s="20"/>
      <c r="CJ47" s="20"/>
      <c r="CK47" s="20"/>
      <c r="CL47" s="20"/>
      <c r="CM47" s="20"/>
      <c r="CN47" s="20"/>
      <c r="CO47" s="20"/>
      <c r="CP47" s="20"/>
      <c r="CQ47" s="20"/>
      <c r="CR47" s="20"/>
      <c r="CS47" s="20"/>
      <c r="CT47" s="20"/>
      <c r="CU47" s="20"/>
      <c r="CV47" s="20"/>
      <c r="CW47" s="20"/>
      <c r="CX47" s="20"/>
      <c r="CY47" s="20"/>
      <c r="CZ47" s="20"/>
      <c r="DA47" s="20"/>
      <c r="DB47" s="20"/>
      <c r="DC47" s="20"/>
      <c r="DD47" s="20"/>
      <c r="DE47" s="20"/>
      <c r="DF47" s="20"/>
      <c r="DG47" s="20"/>
      <c r="DH47" s="20"/>
      <c r="DI47" s="20"/>
      <c r="DJ47" s="20"/>
      <c r="DK47" s="20"/>
      <c r="DL47" s="20"/>
      <c r="DM47" s="20"/>
      <c r="DN47" s="20"/>
      <c r="DO47" s="20"/>
      <c r="DP47" s="20"/>
      <c r="DQ47" s="20"/>
      <c r="DR47" s="20"/>
      <c r="DS47" s="20"/>
      <c r="DT47" s="20"/>
      <c r="DU47" s="20"/>
      <c r="DV47" s="20"/>
      <c r="DW47" s="20"/>
      <c r="DX47" s="20"/>
      <c r="DY47" s="20"/>
      <c r="DZ47" s="20"/>
      <c r="EA47" s="20"/>
      <c r="EB47" s="20"/>
      <c r="EC47" s="20"/>
      <c r="ED47" s="20"/>
      <c r="EE47" s="20"/>
      <c r="EF47" s="20"/>
      <c r="EG47" s="20"/>
    </row>
    <row r="48" spans="1:137" s="2" customFormat="1" ht="15" hidden="1" customHeight="1">
      <c r="A48" s="3"/>
      <c r="B48" s="3"/>
      <c r="C48" s="3"/>
      <c r="D48" s="3"/>
      <c r="E48" s="3"/>
      <c r="F48" s="3"/>
      <c r="G48" s="3"/>
      <c r="H48" s="3"/>
      <c r="I48" s="3"/>
      <c r="J48" s="3"/>
      <c r="K48" s="3"/>
      <c r="L48" s="3"/>
      <c r="M48" s="3"/>
      <c r="N48" s="3"/>
      <c r="O48" s="3"/>
      <c r="P48" s="3"/>
      <c r="Q48" s="3"/>
      <c r="R48" s="12">
        <v>1</v>
      </c>
      <c r="T48" s="12" t="b">
        <f>IF(R48=1,TRUE,IF(R48=2,TRUE,IF($R$67=FALSE,TRUE,FALSE)))</f>
        <v>1</v>
      </c>
      <c r="U48" s="3"/>
      <c r="V48" s="3" t="b">
        <f>IF(AND(V5=2,R48=3),TRUE,FALSE)</f>
        <v>0</v>
      </c>
      <c r="W48" s="3"/>
      <c r="X48" s="3"/>
      <c r="Y48" s="3"/>
      <c r="Z48" s="3">
        <f>LEN(AB48)</f>
        <v>76</v>
      </c>
      <c r="AA48" s="3"/>
      <c r="AB48" s="3" t="s">
        <v>57</v>
      </c>
      <c r="AC48" s="3"/>
      <c r="AD48" s="3"/>
      <c r="AE48" s="3"/>
      <c r="AF48" s="3"/>
      <c r="AG48" s="3"/>
      <c r="AH48" s="3"/>
      <c r="AI48" s="3"/>
      <c r="AJ48" s="3"/>
      <c r="AK48" s="3"/>
      <c r="AL48" s="3"/>
      <c r="AM48" s="3"/>
      <c r="AN48" s="3"/>
      <c r="AO48" s="3"/>
      <c r="AP48" s="3"/>
      <c r="AQ48" s="3"/>
      <c r="AR48" s="3"/>
      <c r="AS48" s="3"/>
      <c r="AT48" s="3"/>
      <c r="AU48" s="3"/>
      <c r="AV48" s="3"/>
      <c r="AW48" s="3"/>
      <c r="AX48" s="3"/>
      <c r="AY48" s="3"/>
      <c r="AZ48" s="3"/>
      <c r="BA48" s="3"/>
      <c r="BB48" s="3"/>
      <c r="BC48" s="3"/>
      <c r="BD48" s="3"/>
      <c r="BE48" s="3"/>
      <c r="BF48" s="3"/>
      <c r="BG48" s="3"/>
      <c r="BH48" s="3"/>
      <c r="BI48" s="3"/>
      <c r="BJ48" s="3"/>
      <c r="BK48" s="3"/>
      <c r="BL48" s="3"/>
      <c r="BM48" s="3"/>
      <c r="BN48" s="3"/>
      <c r="BO48" s="3"/>
      <c r="BP48" s="3"/>
      <c r="BQ48" s="3"/>
      <c r="BR48" s="3"/>
      <c r="BS48" s="3"/>
      <c r="BT48" s="3"/>
      <c r="BU48" s="106"/>
      <c r="BV48" s="106"/>
      <c r="BW48" s="106"/>
      <c r="BX48" s="106"/>
      <c r="BY48" s="106"/>
      <c r="BZ48" s="106"/>
      <c r="CA48" s="106"/>
      <c r="CB48" s="106"/>
      <c r="CC48" s="106"/>
      <c r="CD48" s="106"/>
      <c r="CE48" s="106"/>
      <c r="CF48" s="106"/>
      <c r="CG48" s="106"/>
      <c r="CH48" s="106"/>
      <c r="CI48" s="106"/>
      <c r="CJ48" s="106"/>
      <c r="CK48" s="106"/>
      <c r="CL48" s="106"/>
      <c r="CM48" s="106"/>
      <c r="CN48" s="106"/>
      <c r="CO48" s="106"/>
      <c r="CP48" s="106"/>
      <c r="CQ48" s="106"/>
      <c r="CR48" s="106"/>
      <c r="CS48" s="106"/>
      <c r="CT48" s="106"/>
      <c r="CU48" s="106"/>
      <c r="CV48" s="106"/>
      <c r="CW48" s="106"/>
      <c r="CX48" s="106"/>
      <c r="CY48" s="106"/>
      <c r="CZ48" s="106"/>
      <c r="DA48" s="106"/>
      <c r="DB48" s="106"/>
      <c r="DC48" s="106"/>
      <c r="DD48" s="106"/>
      <c r="DE48" s="106"/>
      <c r="DF48" s="106"/>
      <c r="DG48" s="106"/>
      <c r="DH48" s="106"/>
      <c r="DI48" s="106"/>
      <c r="DJ48" s="106"/>
      <c r="DK48" s="106"/>
      <c r="DL48" s="106"/>
      <c r="DM48" s="106"/>
      <c r="DN48" s="106"/>
      <c r="DO48" s="106"/>
      <c r="DP48" s="106"/>
      <c r="DQ48" s="106"/>
      <c r="DR48" s="106"/>
      <c r="DS48" s="106"/>
      <c r="DT48" s="106"/>
      <c r="DU48" s="106"/>
      <c r="DV48" s="106"/>
      <c r="DW48" s="106"/>
      <c r="DX48" s="106"/>
      <c r="DY48" s="106"/>
      <c r="DZ48" s="106"/>
      <c r="EA48" s="106"/>
      <c r="EB48" s="106"/>
      <c r="EC48" s="106"/>
      <c r="ED48" s="106"/>
      <c r="EE48" s="106"/>
      <c r="EF48" s="106"/>
      <c r="EG48" s="106"/>
    </row>
    <row r="49" spans="1:137" s="2" customFormat="1" ht="15" hidden="1" customHeight="1">
      <c r="A49" s="3"/>
      <c r="B49" s="3"/>
      <c r="C49" s="3"/>
      <c r="D49" s="3"/>
      <c r="E49" s="3"/>
      <c r="F49" s="3"/>
      <c r="G49" s="3"/>
      <c r="H49" s="3"/>
      <c r="I49" s="3"/>
      <c r="J49" s="3"/>
      <c r="K49" s="3"/>
      <c r="L49" s="3"/>
      <c r="M49" s="3"/>
      <c r="N49" s="3"/>
      <c r="O49" s="3"/>
      <c r="P49" s="3"/>
      <c r="Q49" s="3"/>
      <c r="R49" s="2">
        <v>1</v>
      </c>
      <c r="S49" s="13" t="str">
        <f>IF(V5=1,"-","- Velg -")</f>
        <v>-</v>
      </c>
      <c r="T49" s="3"/>
      <c r="U49" s="3"/>
      <c r="V49" s="3"/>
      <c r="W49" s="3" t="b">
        <f>IF(OR(S50="-",S51="-"),TRUE,FALSE)</f>
        <v>1</v>
      </c>
      <c r="X49" s="3"/>
      <c r="Y49" s="3"/>
      <c r="Z49" s="3"/>
      <c r="AA49" s="3"/>
      <c r="AB49" s="3" t="str">
        <f>CONCATENATE(AB46,AB47,AB48)</f>
        <v>Ferdig utfylt skjema undertegnes av en juridisk ansvarlig person hos produsent, f.eks. teknisk sjef eller daglig leder. Det er viktig at opplysningene som oppgis her er korrekte, og det oppfordres til grundighet når man undersøker hvorvidt emisjonstester og/eller testrapporter viser at produktet tilfredsstiller de standardene og emisjonsgrensene som BREEAM-NOR har satt. Er produsenten i tvil, bør man benytte egne interne og eksterne konsulenter.</v>
      </c>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106"/>
      <c r="BV49" s="106"/>
      <c r="BW49" s="106"/>
      <c r="BX49" s="106"/>
      <c r="BY49" s="106"/>
      <c r="BZ49" s="106"/>
      <c r="CA49" s="106"/>
      <c r="CB49" s="106"/>
      <c r="CC49" s="106"/>
      <c r="CD49" s="106"/>
      <c r="CE49" s="106"/>
      <c r="CF49" s="106"/>
      <c r="CG49" s="106"/>
      <c r="CH49" s="106"/>
      <c r="CI49" s="106"/>
      <c r="CJ49" s="106"/>
      <c r="CK49" s="106"/>
      <c r="CL49" s="106"/>
      <c r="CM49" s="106"/>
      <c r="CN49" s="106"/>
      <c r="CO49" s="106"/>
      <c r="CP49" s="106"/>
      <c r="CQ49" s="106"/>
      <c r="CR49" s="106"/>
      <c r="CS49" s="106"/>
      <c r="CT49" s="106"/>
      <c r="CU49" s="106"/>
      <c r="CV49" s="106"/>
      <c r="CW49" s="106"/>
      <c r="CX49" s="106"/>
      <c r="CY49" s="106"/>
      <c r="CZ49" s="106"/>
      <c r="DA49" s="106"/>
      <c r="DB49" s="106"/>
      <c r="DC49" s="106"/>
      <c r="DD49" s="106"/>
      <c r="DE49" s="106"/>
      <c r="DF49" s="106"/>
      <c r="DG49" s="106"/>
      <c r="DH49" s="106"/>
      <c r="DI49" s="106"/>
      <c r="DJ49" s="106"/>
      <c r="DK49" s="106"/>
      <c r="DL49" s="106"/>
      <c r="DM49" s="106"/>
      <c r="DN49" s="106"/>
      <c r="DO49" s="106"/>
      <c r="DP49" s="106"/>
      <c r="DQ49" s="106"/>
      <c r="DR49" s="106"/>
      <c r="DS49" s="106"/>
      <c r="DT49" s="106"/>
      <c r="DU49" s="106"/>
      <c r="DV49" s="106"/>
      <c r="DW49" s="106"/>
      <c r="DX49" s="106"/>
      <c r="DY49" s="106"/>
      <c r="DZ49" s="106"/>
      <c r="EA49" s="106"/>
      <c r="EB49" s="106"/>
      <c r="EC49" s="106"/>
      <c r="ED49" s="106"/>
      <c r="EE49" s="106"/>
      <c r="EF49" s="106"/>
      <c r="EG49" s="106"/>
    </row>
    <row r="50" spans="1:137" s="2" customFormat="1" ht="15" hidden="1" customHeight="1">
      <c r="A50" s="3"/>
      <c r="B50" s="3"/>
      <c r="C50" s="3"/>
      <c r="D50" s="59"/>
      <c r="E50" s="3"/>
      <c r="F50" s="3"/>
      <c r="G50" s="3"/>
      <c r="H50" s="3"/>
      <c r="I50" s="3"/>
      <c r="J50" s="3"/>
      <c r="K50" s="3"/>
      <c r="L50" s="3"/>
      <c r="M50" s="3"/>
      <c r="N50" s="3"/>
      <c r="O50" s="3"/>
      <c r="P50" s="3"/>
      <c r="Q50" s="3"/>
      <c r="R50" s="2">
        <v>2</v>
      </c>
      <c r="S50" s="2" t="str">
        <f>IF(AND(R48=1,V5=1),"-",IF(AND(R48=2,V5=1),"-",IF(AND(R48=3,V5=1),"-","BREEAM-NOR Egendeklarasjon A20")))</f>
        <v>-</v>
      </c>
      <c r="T50" s="3"/>
      <c r="U50" s="3"/>
      <c r="V50" s="3"/>
      <c r="W50" s="3" t="b">
        <f>IF(OR(S54="-",S55="-"),TRUE,FALSE)</f>
        <v>1</v>
      </c>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106"/>
      <c r="BV50" s="106"/>
      <c r="BW50" s="106"/>
      <c r="BX50" s="106"/>
      <c r="BY50" s="106"/>
      <c r="BZ50" s="106"/>
      <c r="CA50" s="106"/>
      <c r="CB50" s="106"/>
      <c r="CC50" s="106"/>
      <c r="CD50" s="106"/>
      <c r="CE50" s="106"/>
      <c r="CF50" s="106"/>
      <c r="CG50" s="106"/>
      <c r="CH50" s="106"/>
      <c r="CI50" s="106"/>
      <c r="CJ50" s="106"/>
      <c r="CK50" s="106"/>
      <c r="CL50" s="106"/>
      <c r="CM50" s="106"/>
      <c r="CN50" s="106"/>
      <c r="CO50" s="106"/>
      <c r="CP50" s="106"/>
      <c r="CQ50" s="106"/>
      <c r="CR50" s="106"/>
      <c r="CS50" s="106"/>
      <c r="CT50" s="106"/>
      <c r="CU50" s="106"/>
      <c r="CV50" s="106"/>
      <c r="CW50" s="106"/>
      <c r="CX50" s="106"/>
      <c r="CY50" s="106"/>
      <c r="CZ50" s="106"/>
      <c r="DA50" s="106"/>
      <c r="DB50" s="106"/>
      <c r="DC50" s="106"/>
      <c r="DD50" s="106"/>
      <c r="DE50" s="106"/>
      <c r="DF50" s="106"/>
      <c r="DG50" s="106"/>
      <c r="DH50" s="106"/>
      <c r="DI50" s="106"/>
      <c r="DJ50" s="106"/>
      <c r="DK50" s="106"/>
      <c r="DL50" s="106"/>
      <c r="DM50" s="106"/>
      <c r="DN50" s="106"/>
      <c r="DO50" s="106"/>
      <c r="DP50" s="106"/>
      <c r="DQ50" s="106"/>
      <c r="DR50" s="106"/>
      <c r="DS50" s="106"/>
      <c r="DT50" s="106"/>
      <c r="DU50" s="106"/>
      <c r="DV50" s="106"/>
      <c r="DW50" s="106"/>
      <c r="DX50" s="106"/>
      <c r="DY50" s="106"/>
      <c r="DZ50" s="106"/>
      <c r="EA50" s="106"/>
      <c r="EB50" s="106"/>
      <c r="EC50" s="106"/>
      <c r="ED50" s="106"/>
      <c r="EE50" s="106"/>
      <c r="EF50" s="106"/>
      <c r="EG50" s="106"/>
    </row>
    <row r="51" spans="1:137" s="2" customFormat="1" ht="15" hidden="1" customHeight="1">
      <c r="A51" s="3"/>
      <c r="B51" s="3"/>
      <c r="C51" s="3"/>
      <c r="E51" s="3"/>
      <c r="F51" s="3"/>
      <c r="G51" s="3"/>
      <c r="H51" s="3"/>
      <c r="I51" s="3"/>
      <c r="J51" s="3"/>
      <c r="K51" s="3"/>
      <c r="L51" s="3"/>
      <c r="M51" s="3"/>
      <c r="N51" s="3"/>
      <c r="O51" s="3"/>
      <c r="P51" s="3"/>
      <c r="Q51" s="3"/>
      <c r="R51" s="2">
        <v>3</v>
      </c>
      <c r="S51" s="2" t="str">
        <f>IF(AND(R48=1,V5=2),"BREEAM-NOR Egendeklarasjon HEA 9",IF(AND(R48=2,V5=2),"BREEAM-NOR Egendeklarasjon HEA 9",IF(AND(R48=2,V5=3),"BREEAM-NOR Egendeklarasjon HEA 02",IF(AND(R48=3,V5=2),"BREEAM-NOR Egendeklarasjon HEA 9",IF(AND(R48=1,V5=3),"BREEAM-NOR Egendeklarasjon HEA 02",IF(AND(R48=3,V5=3),"BREEAM-NOR Egendeklarasjon HEA 02","-"))))))</f>
        <v>-</v>
      </c>
      <c r="T51" s="3"/>
      <c r="U51" s="3"/>
      <c r="V51" s="3" t="b">
        <f>IF(R48=3,TRUE,FALSE)</f>
        <v>0</v>
      </c>
      <c r="W51" s="3"/>
      <c r="X51" s="3"/>
      <c r="Y51" s="3"/>
      <c r="Z51" s="3">
        <f>LEN(AB51)</f>
        <v>219</v>
      </c>
      <c r="AA51" s="3"/>
      <c r="AB51" s="3" t="s">
        <v>13</v>
      </c>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106"/>
      <c r="BV51" s="106"/>
      <c r="BW51" s="106"/>
      <c r="BX51" s="106"/>
      <c r="BY51" s="106"/>
      <c r="BZ51" s="106"/>
      <c r="CA51" s="106"/>
      <c r="CB51" s="106"/>
      <c r="CC51" s="106"/>
      <c r="CD51" s="106"/>
      <c r="CE51" s="106"/>
      <c r="CF51" s="106"/>
      <c r="CG51" s="106"/>
      <c r="CH51" s="106"/>
      <c r="CI51" s="106"/>
      <c r="CJ51" s="106"/>
      <c r="CK51" s="106"/>
      <c r="CL51" s="106"/>
      <c r="CM51" s="106"/>
      <c r="CN51" s="106"/>
      <c r="CO51" s="106"/>
      <c r="CP51" s="106"/>
      <c r="CQ51" s="106"/>
      <c r="CR51" s="106"/>
      <c r="CS51" s="106"/>
      <c r="CT51" s="106"/>
      <c r="CU51" s="106"/>
      <c r="CV51" s="106"/>
      <c r="CW51" s="106"/>
      <c r="CX51" s="106"/>
      <c r="CY51" s="106"/>
      <c r="CZ51" s="106"/>
      <c r="DA51" s="106"/>
      <c r="DB51" s="106"/>
      <c r="DC51" s="106"/>
      <c r="DD51" s="106"/>
      <c r="DE51" s="106"/>
      <c r="DF51" s="106"/>
      <c r="DG51" s="106"/>
      <c r="DH51" s="106"/>
      <c r="DI51" s="106"/>
      <c r="DJ51" s="106"/>
      <c r="DK51" s="106"/>
      <c r="DL51" s="106"/>
      <c r="DM51" s="106"/>
      <c r="DN51" s="106"/>
      <c r="DO51" s="106"/>
      <c r="DP51" s="106"/>
      <c r="DQ51" s="106"/>
      <c r="DR51" s="106"/>
      <c r="DS51" s="106"/>
      <c r="DT51" s="106"/>
      <c r="DU51" s="106"/>
      <c r="DV51" s="106"/>
      <c r="DW51" s="106"/>
      <c r="DX51" s="106"/>
      <c r="DY51" s="106"/>
      <c r="DZ51" s="106"/>
      <c r="EA51" s="106"/>
      <c r="EB51" s="106"/>
      <c r="EC51" s="106"/>
      <c r="ED51" s="106"/>
      <c r="EE51" s="106"/>
      <c r="EF51" s="106"/>
      <c r="EG51" s="106"/>
    </row>
    <row r="52" spans="1:137" s="2" customFormat="1" ht="15" hidden="1" customHeight="1">
      <c r="A52" s="3"/>
      <c r="B52" s="3"/>
      <c r="C52" s="3"/>
      <c r="D52" s="3"/>
      <c r="E52" s="3"/>
      <c r="F52" s="3"/>
      <c r="G52" s="3"/>
      <c r="H52" s="3"/>
      <c r="I52" s="3"/>
      <c r="J52" s="3"/>
      <c r="K52" s="3"/>
      <c r="L52" s="3"/>
      <c r="M52" s="3"/>
      <c r="N52" s="3"/>
      <c r="O52" s="3"/>
      <c r="P52" s="3"/>
      <c r="Q52" s="3"/>
      <c r="R52" s="12">
        <v>1</v>
      </c>
      <c r="S52" s="2">
        <f>R48+R52</f>
        <v>2</v>
      </c>
      <c r="T52" s="3"/>
      <c r="U52" s="3"/>
      <c r="V52" s="3"/>
      <c r="W52" s="3"/>
      <c r="X52" s="3"/>
      <c r="Y52" s="3"/>
      <c r="Z52" s="3">
        <f>LEN(AB52)</f>
        <v>208</v>
      </c>
      <c r="AA52" s="3"/>
      <c r="AB52" s="3" t="s">
        <v>77</v>
      </c>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106"/>
      <c r="BV52" s="106"/>
      <c r="BW52" s="106"/>
      <c r="BX52" s="106"/>
      <c r="BY52" s="106"/>
      <c r="BZ52" s="106"/>
      <c r="CA52" s="106"/>
      <c r="CB52" s="106"/>
      <c r="CC52" s="106"/>
      <c r="CD52" s="106"/>
      <c r="CE52" s="106"/>
      <c r="CF52" s="106"/>
      <c r="CG52" s="106"/>
      <c r="CH52" s="106"/>
      <c r="CI52" s="106"/>
      <c r="CJ52" s="106"/>
      <c r="CK52" s="106"/>
      <c r="CL52" s="106"/>
      <c r="CM52" s="106"/>
      <c r="CN52" s="106"/>
      <c r="CO52" s="106"/>
      <c r="CP52" s="106"/>
      <c r="CQ52" s="106"/>
      <c r="CR52" s="106"/>
      <c r="CS52" s="106"/>
      <c r="CT52" s="106"/>
      <c r="CU52" s="106"/>
      <c r="CV52" s="106"/>
      <c r="CW52" s="106"/>
      <c r="CX52" s="106"/>
      <c r="CY52" s="106"/>
      <c r="CZ52" s="106"/>
      <c r="DA52" s="106"/>
      <c r="DB52" s="106"/>
      <c r="DC52" s="106"/>
      <c r="DD52" s="106"/>
      <c r="DE52" s="106"/>
      <c r="DF52" s="106"/>
      <c r="DG52" s="106"/>
      <c r="DH52" s="106"/>
      <c r="DI52" s="106"/>
      <c r="DJ52" s="106"/>
      <c r="DK52" s="106"/>
      <c r="DL52" s="106"/>
      <c r="DM52" s="106"/>
      <c r="DN52" s="106"/>
      <c r="DO52" s="106"/>
      <c r="DP52" s="106"/>
      <c r="DQ52" s="106"/>
      <c r="DR52" s="106"/>
      <c r="DS52" s="106"/>
      <c r="DT52" s="106"/>
      <c r="DU52" s="106"/>
      <c r="DV52" s="106"/>
      <c r="DW52" s="106"/>
      <c r="DX52" s="106"/>
      <c r="DY52" s="106"/>
      <c r="DZ52" s="106"/>
      <c r="EA52" s="106"/>
      <c r="EB52" s="106"/>
      <c r="EC52" s="106"/>
      <c r="ED52" s="106"/>
      <c r="EE52" s="106"/>
      <c r="EF52" s="106"/>
      <c r="EG52" s="106"/>
    </row>
    <row r="53" spans="1:137" s="2" customFormat="1" ht="15" hidden="1" customHeight="1">
      <c r="A53" s="3"/>
      <c r="B53" s="3"/>
      <c r="C53" s="3"/>
      <c r="D53" s="3"/>
      <c r="E53" s="3"/>
      <c r="F53" s="3"/>
      <c r="G53" s="3"/>
      <c r="H53" s="3"/>
      <c r="I53" s="3"/>
      <c r="J53" s="3"/>
      <c r="K53" s="3"/>
      <c r="L53" s="3"/>
      <c r="N53" s="3"/>
      <c r="O53" s="3"/>
      <c r="P53" s="3"/>
      <c r="Q53" s="3"/>
      <c r="R53" s="2">
        <v>1</v>
      </c>
      <c r="S53" s="13" t="str">
        <f>IF(R48=1,"-",IF(R48=3,"Ikke påkrevd",IF(AND(R52=1,W49=FALSE),"- Velg -",IF(W49=TRUE,"- ",IF(S49="- Velg -","-",IF(R48=2,"- Velg -","-"))))))</f>
        <v>-</v>
      </c>
      <c r="T53" s="3"/>
      <c r="U53" s="3"/>
      <c r="V53" s="3"/>
      <c r="W53" s="3"/>
      <c r="X53" s="3"/>
      <c r="Y53" s="3"/>
      <c r="Z53" s="3">
        <f>LEN(AB53)</f>
        <v>76</v>
      </c>
      <c r="AA53" s="3"/>
      <c r="AB53" s="3" t="s">
        <v>56</v>
      </c>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106"/>
      <c r="BV53" s="106"/>
      <c r="BW53" s="106"/>
      <c r="BX53" s="106"/>
      <c r="BY53" s="106"/>
      <c r="BZ53" s="106"/>
      <c r="CA53" s="106"/>
      <c r="CB53" s="106"/>
      <c r="CC53" s="106"/>
      <c r="CD53" s="106"/>
      <c r="CE53" s="106"/>
      <c r="CF53" s="106"/>
      <c r="CG53" s="106"/>
      <c r="CH53" s="106"/>
      <c r="CI53" s="106"/>
      <c r="CJ53" s="106"/>
      <c r="CK53" s="106"/>
      <c r="CL53" s="106"/>
      <c r="CM53" s="106"/>
      <c r="CN53" s="106"/>
      <c r="CO53" s="106"/>
      <c r="CP53" s="106"/>
      <c r="CQ53" s="106"/>
      <c r="CR53" s="106"/>
      <c r="CS53" s="106"/>
      <c r="CT53" s="106"/>
      <c r="CU53" s="106"/>
      <c r="CV53" s="106"/>
      <c r="CW53" s="106"/>
      <c r="CX53" s="106"/>
      <c r="CY53" s="106"/>
      <c r="CZ53" s="106"/>
      <c r="DA53" s="106"/>
      <c r="DB53" s="106"/>
      <c r="DC53" s="106"/>
      <c r="DD53" s="106"/>
      <c r="DE53" s="106"/>
      <c r="DF53" s="106"/>
      <c r="DG53" s="106"/>
      <c r="DH53" s="106"/>
      <c r="DI53" s="106"/>
      <c r="DJ53" s="106"/>
      <c r="DK53" s="106"/>
      <c r="DL53" s="106"/>
      <c r="DM53" s="106"/>
      <c r="DN53" s="106"/>
      <c r="DO53" s="106"/>
      <c r="DP53" s="106"/>
      <c r="DQ53" s="106"/>
      <c r="DR53" s="106"/>
      <c r="DS53" s="106"/>
      <c r="DT53" s="106"/>
      <c r="DU53" s="106"/>
      <c r="DV53" s="106"/>
      <c r="DW53" s="106"/>
      <c r="DX53" s="106"/>
      <c r="DY53" s="106"/>
      <c r="DZ53" s="106"/>
      <c r="EA53" s="106"/>
      <c r="EB53" s="106"/>
      <c r="EC53" s="106"/>
      <c r="ED53" s="106"/>
      <c r="EE53" s="106"/>
      <c r="EF53" s="106"/>
      <c r="EG53" s="106"/>
    </row>
    <row r="54" spans="1:137" s="2" customFormat="1" ht="15" hidden="1" customHeight="1">
      <c r="A54" s="3"/>
      <c r="B54" s="3"/>
      <c r="C54" s="3"/>
      <c r="D54" s="3"/>
      <c r="E54" s="3"/>
      <c r="F54" s="3"/>
      <c r="G54" s="3"/>
      <c r="H54" s="3"/>
      <c r="I54" s="3"/>
      <c r="J54" s="3"/>
      <c r="K54" s="3"/>
      <c r="L54" s="3"/>
      <c r="N54" s="3"/>
      <c r="O54" s="3"/>
      <c r="P54" s="3"/>
      <c r="Q54" s="3"/>
      <c r="R54" s="2">
        <v>2</v>
      </c>
      <c r="S54" s="2" t="str">
        <f>IF(AND(V5=2,R48=2),"For prosjekter registrert fra 14.03.2012 til 30.03.2013",IF(AND(V5=3,R48=2),"For prosjekter registrert etter 01.08.2016","-"))</f>
        <v>-</v>
      </c>
      <c r="T54" s="3"/>
      <c r="U54" s="3"/>
      <c r="V54" s="3"/>
      <c r="W54" s="3"/>
      <c r="X54" s="3"/>
      <c r="Y54" s="3"/>
      <c r="Z54" s="3">
        <f>LEN(AB54)</f>
        <v>273</v>
      </c>
      <c r="AA54" s="3"/>
      <c r="AB54" s="2" t="s">
        <v>128</v>
      </c>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106"/>
      <c r="BV54" s="106"/>
      <c r="BW54" s="106"/>
      <c r="BX54" s="106"/>
      <c r="BY54" s="106"/>
      <c r="BZ54" s="106"/>
      <c r="CA54" s="106"/>
      <c r="CB54" s="106"/>
      <c r="CC54" s="106"/>
      <c r="CD54" s="106"/>
      <c r="CE54" s="106"/>
      <c r="CF54" s="106"/>
      <c r="CG54" s="106"/>
      <c r="CH54" s="106"/>
      <c r="CI54" s="106"/>
      <c r="CJ54" s="106"/>
      <c r="CK54" s="106"/>
      <c r="CL54" s="106"/>
      <c r="CM54" s="106"/>
      <c r="CN54" s="106"/>
      <c r="CO54" s="106"/>
      <c r="CP54" s="106"/>
      <c r="CQ54" s="106"/>
      <c r="CR54" s="106"/>
      <c r="CS54" s="106"/>
      <c r="CT54" s="106"/>
      <c r="CU54" s="106"/>
      <c r="CV54" s="106"/>
      <c r="CW54" s="106"/>
      <c r="CX54" s="106"/>
      <c r="CY54" s="106"/>
      <c r="CZ54" s="106"/>
      <c r="DA54" s="106"/>
      <c r="DB54" s="106"/>
      <c r="DC54" s="106"/>
      <c r="DD54" s="106"/>
      <c r="DE54" s="106"/>
      <c r="DF54" s="106"/>
      <c r="DG54" s="106"/>
      <c r="DH54" s="106"/>
      <c r="DI54" s="106"/>
      <c r="DJ54" s="106"/>
      <c r="DK54" s="106"/>
      <c r="DL54" s="106"/>
      <c r="DM54" s="106"/>
      <c r="DN54" s="106"/>
      <c r="DO54" s="106"/>
      <c r="DP54" s="106"/>
      <c r="DQ54" s="106"/>
      <c r="DR54" s="106"/>
      <c r="DS54" s="106"/>
      <c r="DT54" s="106"/>
      <c r="DU54" s="106"/>
      <c r="DV54" s="106"/>
      <c r="DW54" s="106"/>
      <c r="DX54" s="106"/>
      <c r="DY54" s="106"/>
      <c r="DZ54" s="106"/>
      <c r="EA54" s="106"/>
      <c r="EB54" s="106"/>
      <c r="EC54" s="106"/>
      <c r="ED54" s="106"/>
      <c r="EE54" s="106"/>
      <c r="EF54" s="106"/>
      <c r="EG54" s="106"/>
    </row>
    <row r="55" spans="1:137" s="2" customFormat="1" ht="15" hidden="1" customHeight="1">
      <c r="A55" s="3"/>
      <c r="B55" s="3"/>
      <c r="C55" s="3"/>
      <c r="E55" s="3"/>
      <c r="F55" s="3"/>
      <c r="G55" s="3"/>
      <c r="H55" s="3"/>
      <c r="I55" s="3"/>
      <c r="J55" s="3"/>
      <c r="K55" s="3"/>
      <c r="L55" s="3"/>
      <c r="O55" s="3"/>
      <c r="P55" s="3"/>
      <c r="Q55" s="3"/>
      <c r="R55" s="2">
        <v>3</v>
      </c>
      <c r="S55" s="2" t="str">
        <f>IF(AND(V5=2,R48=2),"For prosjekter registrert fra 01.04.2013 til 31.08.2016",IF(AND(V5=3,R48=3),"-","-"))</f>
        <v>-</v>
      </c>
      <c r="T55" s="3"/>
      <c r="U55" s="3"/>
      <c r="V55" s="3"/>
      <c r="W55" s="3"/>
      <c r="X55" s="3"/>
      <c r="Y55" s="3"/>
      <c r="Z55" s="3"/>
      <c r="AA55" s="3"/>
      <c r="AB55" s="3" t="str">
        <f>CONCATENATE(AB51,AB52,AB53,AB54)</f>
        <v>Ferdig utfylt skjema undertegnes av en juridisk ansvarlig person hos produsent, f.eks. teknisk sjef eller daglig leder. Stoffer som skal unngås kan ikke finnes i produktet, verken i fri, i bunden eller i naturlig form. Konsentrasjoner under grenseverdien på ≤ 0,1 % godtas. Det er forutsatt at informasjonen i A20-listen er kjent. Bemerk dato på deklarasjonsskjema må samsvare med gjeldende prosessnotat i det angitte tidsrom. For faste bygningsprodukter vil godkjent dokumentasjon være ett av følgende: Karakter 1 – 6 (grønn eller hvit) iht. ECOproduct (Norsk Byggtjeneste), Sintef Byggforsk Teknisk Godkjenning utarbeidet etter 1. januar 2010, Miljømerket Svanen eller EU-blomsten. For kjemiske produkter kan man også sjekke opp mot sikkerhetsdatabladet (SDS) for produktet.</v>
      </c>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106"/>
      <c r="BV55" s="106"/>
      <c r="BW55" s="106"/>
      <c r="BX55" s="106"/>
      <c r="BY55" s="106"/>
      <c r="BZ55" s="106"/>
      <c r="CA55" s="106"/>
      <c r="CB55" s="106"/>
      <c r="CC55" s="106"/>
      <c r="CD55" s="106"/>
      <c r="CE55" s="106"/>
      <c r="CF55" s="106"/>
      <c r="CG55" s="106"/>
      <c r="CH55" s="106"/>
      <c r="CI55" s="106"/>
      <c r="CJ55" s="106"/>
      <c r="CK55" s="106"/>
      <c r="CL55" s="106"/>
      <c r="CM55" s="106"/>
      <c r="CN55" s="106"/>
      <c r="CO55" s="106"/>
      <c r="CP55" s="106"/>
      <c r="CQ55" s="106"/>
      <c r="CR55" s="106"/>
      <c r="CS55" s="106"/>
      <c r="CT55" s="106"/>
      <c r="CU55" s="106"/>
      <c r="CV55" s="106"/>
      <c r="CW55" s="106"/>
      <c r="CX55" s="106"/>
      <c r="CY55" s="106"/>
      <c r="CZ55" s="106"/>
      <c r="DA55" s="106"/>
      <c r="DB55" s="106"/>
      <c r="DC55" s="106"/>
      <c r="DD55" s="106"/>
      <c r="DE55" s="106"/>
      <c r="DF55" s="106"/>
      <c r="DG55" s="106"/>
      <c r="DH55" s="106"/>
      <c r="DI55" s="106"/>
      <c r="DJ55" s="106"/>
      <c r="DK55" s="106"/>
      <c r="DL55" s="106"/>
      <c r="DM55" s="106"/>
      <c r="DN55" s="106"/>
      <c r="DO55" s="106"/>
      <c r="DP55" s="106"/>
      <c r="DQ55" s="106"/>
      <c r="DR55" s="106"/>
      <c r="DS55" s="106"/>
      <c r="DT55" s="106"/>
      <c r="DU55" s="106"/>
      <c r="DV55" s="106"/>
      <c r="DW55" s="106"/>
      <c r="DX55" s="106"/>
      <c r="DY55" s="106"/>
      <c r="DZ55" s="106"/>
      <c r="EA55" s="106"/>
      <c r="EB55" s="106"/>
      <c r="EC55" s="106"/>
      <c r="ED55" s="106"/>
      <c r="EE55" s="106"/>
      <c r="EF55" s="106"/>
      <c r="EG55" s="106"/>
    </row>
    <row r="56" spans="1:137" s="2" customFormat="1" ht="15" hidden="1" customHeight="1">
      <c r="A56" s="3"/>
      <c r="B56" s="3"/>
      <c r="C56" s="3"/>
      <c r="D56" s="3"/>
      <c r="E56" s="3"/>
      <c r="F56" s="3"/>
      <c r="G56" s="3"/>
      <c r="H56" s="3"/>
      <c r="I56" s="3"/>
      <c r="J56" s="3"/>
      <c r="K56" s="3"/>
      <c r="L56" s="3"/>
      <c r="M56" s="5"/>
      <c r="N56" s="3"/>
      <c r="O56" s="3"/>
      <c r="P56" s="3"/>
      <c r="Q56" s="3"/>
      <c r="R56" s="2" t="b">
        <f>IF(R48=1,IF(R52=1,TRUE,IF(R48=1,IF(R52=2,TRUE,FALSE))))</f>
        <v>1</v>
      </c>
      <c r="T56" s="3"/>
      <c r="U56" s="3"/>
      <c r="V56" s="3"/>
      <c r="W56" s="3"/>
      <c r="X56" s="3"/>
      <c r="Y56" s="3"/>
      <c r="Z56" s="3"/>
      <c r="AA56" s="3"/>
      <c r="AB56" s="3"/>
      <c r="AC56" s="3"/>
      <c r="AD56" s="3"/>
      <c r="AE56" s="3"/>
      <c r="AF56" s="3"/>
      <c r="AG56" s="3"/>
      <c r="AH56" s="3"/>
      <c r="AI56" s="3" t="s">
        <v>132</v>
      </c>
      <c r="AJ56" s="3" t="s">
        <v>133</v>
      </c>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106"/>
      <c r="BV56" s="106"/>
      <c r="BW56" s="106"/>
      <c r="BX56" s="106"/>
      <c r="BY56" s="106"/>
      <c r="BZ56" s="106"/>
      <c r="CA56" s="106"/>
      <c r="CB56" s="106"/>
      <c r="CC56" s="106"/>
      <c r="CD56" s="106"/>
      <c r="CE56" s="106"/>
      <c r="CF56" s="106"/>
      <c r="CG56" s="106"/>
      <c r="CH56" s="106"/>
      <c r="CI56" s="106"/>
      <c r="CJ56" s="106"/>
      <c r="CK56" s="106"/>
      <c r="CL56" s="106"/>
      <c r="CM56" s="106"/>
      <c r="CN56" s="106"/>
      <c r="CO56" s="106"/>
      <c r="CP56" s="106"/>
      <c r="CQ56" s="106"/>
      <c r="CR56" s="106"/>
      <c r="CS56" s="106"/>
      <c r="CT56" s="106"/>
      <c r="CU56" s="106"/>
      <c r="CV56" s="106"/>
      <c r="CW56" s="106"/>
      <c r="CX56" s="106"/>
      <c r="CY56" s="106"/>
      <c r="CZ56" s="106"/>
      <c r="DA56" s="106"/>
      <c r="DB56" s="106"/>
      <c r="DC56" s="106"/>
      <c r="DD56" s="106"/>
      <c r="DE56" s="106"/>
      <c r="DF56" s="106"/>
      <c r="DG56" s="106"/>
      <c r="DH56" s="106"/>
      <c r="DI56" s="106"/>
      <c r="DJ56" s="106"/>
      <c r="DK56" s="106"/>
      <c r="DL56" s="106"/>
      <c r="DM56" s="106"/>
      <c r="DN56" s="106"/>
      <c r="DO56" s="106"/>
      <c r="DP56" s="106"/>
      <c r="DQ56" s="106"/>
      <c r="DR56" s="106"/>
      <c r="DS56" s="106"/>
      <c r="DT56" s="106"/>
      <c r="DU56" s="106"/>
      <c r="DV56" s="106"/>
      <c r="DW56" s="106"/>
      <c r="DX56" s="106"/>
      <c r="DY56" s="106"/>
      <c r="DZ56" s="106"/>
      <c r="EA56" s="106"/>
      <c r="EB56" s="106"/>
      <c r="EC56" s="106"/>
      <c r="ED56" s="106"/>
      <c r="EE56" s="106"/>
      <c r="EF56" s="106"/>
      <c r="EG56" s="106"/>
    </row>
    <row r="57" spans="1:137" s="2" customFormat="1" ht="15" hidden="1" customHeight="1">
      <c r="A57" s="3"/>
      <c r="B57" s="3"/>
      <c r="C57" s="3"/>
      <c r="D57" s="3"/>
      <c r="E57" s="3"/>
      <c r="F57" s="3"/>
      <c r="G57" s="3"/>
      <c r="H57" s="3"/>
      <c r="I57" s="3"/>
      <c r="J57" s="3"/>
      <c r="K57" s="3"/>
      <c r="L57" s="3"/>
      <c r="M57" s="5"/>
      <c r="N57" s="3"/>
      <c r="O57" s="3"/>
      <c r="P57" s="3"/>
      <c r="Q57" s="3"/>
      <c r="S57" s="2" t="s">
        <v>107</v>
      </c>
      <c r="T57" s="3"/>
      <c r="U57" s="3"/>
      <c r="V57" s="3"/>
      <c r="W57" s="3"/>
      <c r="X57" s="3"/>
      <c r="Y57" s="3"/>
      <c r="Z57" s="2" t="s">
        <v>108</v>
      </c>
      <c r="AA57" s="3"/>
      <c r="AB57" s="3"/>
      <c r="AC57" s="3"/>
      <c r="AD57" s="3"/>
      <c r="AE57" s="3"/>
      <c r="AF57" s="3"/>
      <c r="AG57" s="3"/>
      <c r="AH57" s="3"/>
      <c r="AI57" s="3" t="s">
        <v>130</v>
      </c>
      <c r="AJ57" s="3" t="s">
        <v>131</v>
      </c>
      <c r="AK57" s="8"/>
      <c r="AL57" s="3"/>
      <c r="AM57" s="11"/>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106"/>
      <c r="BV57" s="106"/>
      <c r="BW57" s="106"/>
      <c r="BX57" s="106"/>
      <c r="BY57" s="106"/>
      <c r="BZ57" s="106"/>
      <c r="CA57" s="106"/>
      <c r="CB57" s="106"/>
      <c r="CC57" s="106"/>
      <c r="CD57" s="106"/>
      <c r="CE57" s="106"/>
      <c r="CF57" s="106"/>
      <c r="CG57" s="106"/>
      <c r="CH57" s="106"/>
      <c r="CI57" s="106"/>
      <c r="CJ57" s="106"/>
      <c r="CK57" s="106"/>
      <c r="CL57" s="106"/>
      <c r="CM57" s="106"/>
      <c r="CN57" s="106"/>
      <c r="CO57" s="106"/>
      <c r="CP57" s="106"/>
      <c r="CQ57" s="106"/>
      <c r="CR57" s="106"/>
      <c r="CS57" s="106"/>
      <c r="CT57" s="106"/>
      <c r="CU57" s="106"/>
      <c r="CV57" s="106"/>
      <c r="CW57" s="106"/>
      <c r="CX57" s="106"/>
      <c r="CY57" s="106"/>
      <c r="CZ57" s="106"/>
      <c r="DA57" s="106"/>
      <c r="DB57" s="106"/>
      <c r="DC57" s="106"/>
      <c r="DD57" s="106"/>
      <c r="DE57" s="106"/>
      <c r="DF57" s="106"/>
      <c r="DG57" s="106"/>
      <c r="DH57" s="106"/>
      <c r="DI57" s="106"/>
      <c r="DJ57" s="106"/>
      <c r="DK57" s="106"/>
      <c r="DL57" s="106"/>
      <c r="DM57" s="106"/>
      <c r="DN57" s="106"/>
      <c r="DO57" s="106"/>
      <c r="DP57" s="106"/>
      <c r="DQ57" s="106"/>
      <c r="DR57" s="106"/>
      <c r="DS57" s="106"/>
      <c r="DT57" s="106"/>
      <c r="DU57" s="106"/>
      <c r="DV57" s="106"/>
      <c r="DW57" s="106"/>
      <c r="DX57" s="106"/>
      <c r="DY57" s="106"/>
      <c r="DZ57" s="106"/>
      <c r="EA57" s="106"/>
      <c r="EB57" s="106"/>
      <c r="EC57" s="106"/>
      <c r="ED57" s="106"/>
      <c r="EE57" s="106"/>
      <c r="EF57" s="106"/>
      <c r="EG57" s="106"/>
    </row>
    <row r="58" spans="1:137" s="2" customFormat="1" ht="15" hidden="1" customHeight="1">
      <c r="A58" s="3"/>
      <c r="B58" s="3"/>
      <c r="C58" s="3"/>
      <c r="D58" s="3"/>
      <c r="E58" s="3"/>
      <c r="F58" s="3"/>
      <c r="G58" s="3"/>
      <c r="H58" s="3"/>
      <c r="I58" s="3"/>
      <c r="J58" s="3"/>
      <c r="K58" s="3"/>
      <c r="L58" s="3"/>
      <c r="M58" s="5"/>
      <c r="N58" s="3"/>
      <c r="O58" s="3"/>
      <c r="P58" s="3"/>
      <c r="Q58" s="3"/>
      <c r="S58" s="2" t="s">
        <v>81</v>
      </c>
      <c r="T58" s="3" t="s">
        <v>2</v>
      </c>
      <c r="U58" s="3" t="s">
        <v>1</v>
      </c>
      <c r="V58" s="3"/>
      <c r="W58" s="3"/>
      <c r="X58" s="3" t="s">
        <v>8</v>
      </c>
      <c r="Y58" s="3"/>
      <c r="Z58" s="2" t="s">
        <v>109</v>
      </c>
      <c r="AA58" s="3" t="s">
        <v>2</v>
      </c>
      <c r="AB58" s="3" t="s">
        <v>1</v>
      </c>
      <c r="AC58" s="3" t="s">
        <v>101</v>
      </c>
      <c r="AD58" s="3" t="s">
        <v>111</v>
      </c>
      <c r="AE58" s="3" t="s">
        <v>124</v>
      </c>
      <c r="AF58" s="3" t="s">
        <v>102</v>
      </c>
      <c r="AG58" s="3"/>
      <c r="AH58" s="3"/>
      <c r="AI58" s="3"/>
      <c r="AJ58" s="3"/>
      <c r="AK58" s="11"/>
      <c r="AL58" s="3"/>
      <c r="AM58" s="3"/>
      <c r="AN58" s="3"/>
      <c r="AO58" s="3"/>
      <c r="AP58" s="11"/>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106"/>
      <c r="BV58" s="106"/>
      <c r="BW58" s="106"/>
      <c r="BX58" s="106"/>
      <c r="BY58" s="106"/>
      <c r="BZ58" s="106"/>
      <c r="CA58" s="106"/>
      <c r="CB58" s="106"/>
      <c r="CC58" s="106"/>
      <c r="CD58" s="106"/>
      <c r="CE58" s="106"/>
      <c r="CF58" s="106"/>
      <c r="CG58" s="106"/>
      <c r="CH58" s="106"/>
      <c r="CI58" s="106"/>
      <c r="CJ58" s="106"/>
      <c r="CK58" s="106"/>
      <c r="CL58" s="106"/>
      <c r="CM58" s="106"/>
      <c r="CN58" s="106"/>
      <c r="CO58" s="106"/>
      <c r="CP58" s="106"/>
      <c r="CQ58" s="106"/>
      <c r="CR58" s="106"/>
      <c r="CS58" s="106"/>
      <c r="CT58" s="106"/>
      <c r="CU58" s="106"/>
      <c r="CV58" s="106"/>
      <c r="CW58" s="106"/>
      <c r="CX58" s="106"/>
      <c r="CY58" s="106"/>
      <c r="CZ58" s="106"/>
      <c r="DA58" s="106"/>
      <c r="DB58" s="106"/>
      <c r="DC58" s="106"/>
      <c r="DD58" s="106"/>
      <c r="DE58" s="106"/>
      <c r="DF58" s="106"/>
      <c r="DG58" s="106"/>
      <c r="DH58" s="106"/>
      <c r="DI58" s="106"/>
      <c r="DJ58" s="106"/>
      <c r="DK58" s="106"/>
      <c r="DL58" s="106"/>
      <c r="DM58" s="106"/>
      <c r="DN58" s="106"/>
      <c r="DO58" s="106"/>
      <c r="DP58" s="106"/>
      <c r="DQ58" s="106"/>
      <c r="DR58" s="106"/>
      <c r="DS58" s="106"/>
      <c r="DT58" s="106"/>
      <c r="DU58" s="106"/>
      <c r="DV58" s="106"/>
      <c r="DW58" s="106"/>
      <c r="DX58" s="106"/>
      <c r="DY58" s="106"/>
      <c r="DZ58" s="106"/>
      <c r="EA58" s="106"/>
      <c r="EB58" s="106"/>
      <c r="EC58" s="106"/>
      <c r="ED58" s="106"/>
      <c r="EE58" s="106"/>
      <c r="EF58" s="106"/>
      <c r="EG58" s="106"/>
    </row>
    <row r="59" spans="1:137" s="2" customFormat="1" ht="15" hidden="1" customHeight="1">
      <c r="A59" s="3"/>
      <c r="B59" s="3"/>
      <c r="C59" s="3"/>
      <c r="D59" s="3"/>
      <c r="E59" s="3"/>
      <c r="F59" s="3"/>
      <c r="G59" s="3"/>
      <c r="H59" s="3"/>
      <c r="I59" s="3"/>
      <c r="J59" s="3"/>
      <c r="K59" s="3"/>
      <c r="L59" s="3"/>
      <c r="M59" s="5"/>
      <c r="N59" s="3"/>
      <c r="O59" s="3"/>
      <c r="P59" s="3"/>
      <c r="Q59" s="3"/>
      <c r="S59" s="2" t="b">
        <f>IF(AND(V5=2,R48=3,R60=9),TRUE,FALSE)</f>
        <v>0</v>
      </c>
      <c r="T59" s="3" t="b">
        <f>IF(AND(V5=2,$R$48=3,$R$60=6),TRUE,FALSE)</f>
        <v>0</v>
      </c>
      <c r="U59" s="3" t="b">
        <f>IF(AND(V5=2,$R$48=3,$R$60=3),TRUE,FALSE)</f>
        <v>0</v>
      </c>
      <c r="V59" s="3" t="b">
        <f>IF(AND(V5=2,$R$48=3,$R$60=10),TRUE,FALSE)</f>
        <v>0</v>
      </c>
      <c r="W59" s="99" t="b">
        <f>IF(AND(V5=2,$R$48=3,$R$60=7),TRUE,FALSE)</f>
        <v>0</v>
      </c>
      <c r="X59" s="3" t="b">
        <f>IF(AND(V5=2,$R$48=2,$R$60=3),TRUE,FALSE)</f>
        <v>0</v>
      </c>
      <c r="Y59" s="3"/>
      <c r="Z59" s="2" t="b">
        <f>IF(AND(V5=3,R48=3,R60=3),TRUE,FALSE)</f>
        <v>0</v>
      </c>
      <c r="AA59" s="3" t="b">
        <f>IF(AND(V5=3,$R$48=3,$R$60=4),TRUE,FALSE)</f>
        <v>0</v>
      </c>
      <c r="AB59" s="3" t="b">
        <f>IF(AND(V5=3,$R$48=3,$R$60=3),TRUE,IF(AND(V5=3,$R$48=3,$R$60=6),TRUE,FALSE))</f>
        <v>0</v>
      </c>
      <c r="AC59" s="3" t="b">
        <f>IF(AND(V5=3,$R$48=3,$R$60=10),TRUE,FALSE)</f>
        <v>0</v>
      </c>
      <c r="AD59" s="3" t="b">
        <f>IF(AND(V5=3,$R$48=3,$R$60=7),TRUE,FALSE)</f>
        <v>0</v>
      </c>
      <c r="AE59" s="3" t="b">
        <f>IF(AND(V5=3,$R$48=3,$R$60=9),TRUE,FALSE)</f>
        <v>0</v>
      </c>
      <c r="AF59" s="3" t="b">
        <f>IF(AND($V$5=3,$R$48=3,$R$60=11),TRUE,FALSE)</f>
        <v>0</v>
      </c>
      <c r="AG59" s="3"/>
      <c r="AH59" s="3"/>
      <c r="AI59" s="8"/>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106"/>
      <c r="BV59" s="106"/>
      <c r="BW59" s="106"/>
      <c r="BX59" s="106"/>
      <c r="BY59" s="106"/>
      <c r="BZ59" s="106"/>
      <c r="CA59" s="106"/>
      <c r="CB59" s="106"/>
      <c r="CC59" s="106"/>
      <c r="CD59" s="106"/>
      <c r="CE59" s="106"/>
      <c r="CF59" s="106"/>
      <c r="CG59" s="106"/>
      <c r="CH59" s="106"/>
      <c r="CI59" s="106"/>
      <c r="CJ59" s="106"/>
      <c r="CK59" s="106"/>
      <c r="CL59" s="106"/>
      <c r="CM59" s="106"/>
      <c r="CN59" s="106"/>
      <c r="CO59" s="106"/>
      <c r="CP59" s="106"/>
      <c r="CQ59" s="106"/>
      <c r="CR59" s="106"/>
      <c r="CS59" s="106"/>
      <c r="CT59" s="106"/>
      <c r="CU59" s="106"/>
      <c r="CV59" s="106"/>
      <c r="CW59" s="106"/>
      <c r="CX59" s="106"/>
      <c r="CY59" s="106"/>
      <c r="CZ59" s="106"/>
      <c r="DA59" s="106"/>
      <c r="DB59" s="106"/>
      <c r="DC59" s="106"/>
      <c r="DD59" s="106"/>
      <c r="DE59" s="106"/>
      <c r="DF59" s="106"/>
      <c r="DG59" s="106"/>
      <c r="DH59" s="106"/>
      <c r="DI59" s="106"/>
      <c r="DJ59" s="106"/>
      <c r="DK59" s="106"/>
      <c r="DL59" s="106"/>
      <c r="DM59" s="106"/>
      <c r="DN59" s="106"/>
      <c r="DO59" s="106"/>
      <c r="DP59" s="106"/>
      <c r="DQ59" s="106"/>
      <c r="DR59" s="106"/>
      <c r="DS59" s="106"/>
      <c r="DT59" s="106"/>
      <c r="DU59" s="106"/>
      <c r="DV59" s="106"/>
      <c r="DW59" s="106"/>
      <c r="DX59" s="106"/>
      <c r="DY59" s="106"/>
      <c r="DZ59" s="106"/>
      <c r="EA59" s="106"/>
      <c r="EB59" s="106"/>
      <c r="EC59" s="106"/>
      <c r="ED59" s="106"/>
      <c r="EE59" s="106"/>
      <c r="EF59" s="106"/>
      <c r="EG59" s="106"/>
    </row>
    <row r="60" spans="1:137" s="2" customFormat="1" ht="15" hidden="1" customHeight="1">
      <c r="A60" s="3"/>
      <c r="B60" s="3"/>
      <c r="C60" s="3"/>
      <c r="D60" s="5"/>
      <c r="E60" s="5"/>
      <c r="F60" s="5"/>
      <c r="G60" s="5"/>
      <c r="H60" s="5"/>
      <c r="I60" s="5"/>
      <c r="J60" s="5"/>
      <c r="K60" s="5"/>
      <c r="L60" s="5"/>
      <c r="M60" s="5"/>
      <c r="N60" s="3"/>
      <c r="O60" s="3"/>
      <c r="P60" s="3"/>
      <c r="Q60" s="3"/>
      <c r="R60" s="12">
        <v>1</v>
      </c>
      <c r="T60" s="3"/>
      <c r="U60" s="3"/>
      <c r="V60" s="3"/>
      <c r="W60" s="3"/>
      <c r="X60" s="3"/>
      <c r="Y60" s="3"/>
      <c r="Z60" s="3"/>
      <c r="AA60" s="3"/>
      <c r="AB60" s="3"/>
      <c r="AC60" s="3"/>
      <c r="AD60" s="3"/>
      <c r="AE60" s="3"/>
      <c r="AF60" s="3"/>
      <c r="AG60" s="3"/>
      <c r="AH60" s="3"/>
      <c r="AI60" s="8"/>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206" t="s">
        <v>9</v>
      </c>
      <c r="BN60" s="206"/>
      <c r="BO60" s="206"/>
      <c r="BP60" s="3"/>
      <c r="BQ60" s="3"/>
      <c r="BR60" s="3"/>
      <c r="BS60" s="3"/>
      <c r="BT60" s="3"/>
      <c r="BU60" s="106"/>
      <c r="BV60" s="106"/>
      <c r="BW60" s="106"/>
      <c r="BX60" s="106"/>
      <c r="BY60" s="106"/>
      <c r="BZ60" s="106"/>
      <c r="CA60" s="106"/>
      <c r="CB60" s="106"/>
      <c r="CC60" s="106"/>
      <c r="CD60" s="106"/>
      <c r="CE60" s="106"/>
      <c r="CF60" s="106"/>
      <c r="CG60" s="106"/>
      <c r="CH60" s="106"/>
      <c r="CI60" s="106"/>
      <c r="CJ60" s="106"/>
      <c r="CK60" s="106"/>
      <c r="CL60" s="106"/>
      <c r="CM60" s="106"/>
      <c r="CN60" s="106"/>
      <c r="CO60" s="106"/>
      <c r="CP60" s="106"/>
      <c r="CQ60" s="106"/>
      <c r="CR60" s="106"/>
      <c r="CS60" s="106"/>
      <c r="CT60" s="106"/>
      <c r="CU60" s="106"/>
      <c r="CV60" s="106"/>
      <c r="CW60" s="106"/>
      <c r="CX60" s="106"/>
      <c r="CY60" s="106"/>
      <c r="CZ60" s="106"/>
      <c r="DA60" s="106"/>
      <c r="DB60" s="106"/>
      <c r="DC60" s="106"/>
      <c r="DD60" s="106"/>
      <c r="DE60" s="106"/>
      <c r="DF60" s="106"/>
      <c r="DG60" s="106"/>
      <c r="DH60" s="106"/>
      <c r="DI60" s="106"/>
      <c r="DJ60" s="106"/>
      <c r="DK60" s="106"/>
      <c r="DL60" s="106"/>
      <c r="DM60" s="106"/>
      <c r="DN60" s="106"/>
      <c r="DO60" s="106"/>
      <c r="DP60" s="106"/>
      <c r="DQ60" s="106"/>
      <c r="DR60" s="106"/>
      <c r="DS60" s="106"/>
      <c r="DT60" s="106"/>
      <c r="DU60" s="106"/>
      <c r="DV60" s="106"/>
      <c r="DW60" s="106"/>
      <c r="DX60" s="106"/>
      <c r="DY60" s="106"/>
      <c r="DZ60" s="106"/>
      <c r="EA60" s="106"/>
      <c r="EB60" s="106"/>
      <c r="EC60" s="106"/>
      <c r="ED60" s="106"/>
      <c r="EE60" s="106"/>
      <c r="EF60" s="106"/>
      <c r="EG60" s="106"/>
    </row>
    <row r="61" spans="1:137" s="2" customFormat="1" ht="15" hidden="1" customHeight="1">
      <c r="A61" s="3"/>
      <c r="B61" s="3"/>
      <c r="C61" s="3"/>
      <c r="D61" s="3"/>
      <c r="E61" s="3"/>
      <c r="F61" s="3"/>
      <c r="G61" s="3"/>
      <c r="H61" s="3"/>
      <c r="I61" s="3"/>
      <c r="J61" s="3"/>
      <c r="K61" s="3"/>
      <c r="L61" s="3"/>
      <c r="M61" s="3"/>
      <c r="N61" s="3"/>
      <c r="O61" s="3"/>
      <c r="P61" s="2">
        <v>1</v>
      </c>
      <c r="Q61" s="13" t="str">
        <f>IF(V5=1,"-",IF(R48=3,"- Velg -",IF(R52=1,"-",IF(R48=2,"- Velg -","-"))))</f>
        <v>-</v>
      </c>
      <c r="R61" s="6" t="s">
        <v>9</v>
      </c>
      <c r="S61" s="2" t="s">
        <v>95</v>
      </c>
      <c r="T61" s="3" t="s">
        <v>96</v>
      </c>
      <c r="U61" s="3" t="s">
        <v>97</v>
      </c>
      <c r="V61" s="3" t="s">
        <v>98</v>
      </c>
      <c r="W61" s="4"/>
      <c r="X61" s="4"/>
      <c r="Y61" s="4"/>
      <c r="Z61" s="4"/>
      <c r="AA61" s="4"/>
      <c r="AB61" s="4"/>
      <c r="AC61" s="4"/>
      <c r="AD61" s="4"/>
      <c r="AE61" s="3"/>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t="s">
        <v>18</v>
      </c>
      <c r="BN61" s="4" t="s">
        <v>19</v>
      </c>
      <c r="BO61" s="4" t="s">
        <v>20</v>
      </c>
      <c r="BP61" s="3"/>
      <c r="BQ61" s="3"/>
      <c r="BR61" s="3"/>
      <c r="BS61" s="3"/>
      <c r="BT61" s="3"/>
      <c r="BU61" s="106"/>
      <c r="BV61" s="106"/>
      <c r="BW61" s="106"/>
      <c r="BX61" s="106"/>
      <c r="BY61" s="106"/>
      <c r="BZ61" s="106"/>
      <c r="CA61" s="106"/>
      <c r="CB61" s="106"/>
      <c r="CC61" s="106"/>
      <c r="CD61" s="106"/>
      <c r="CE61" s="106"/>
      <c r="CF61" s="106"/>
      <c r="CG61" s="106"/>
      <c r="CH61" s="106"/>
      <c r="CI61" s="106"/>
      <c r="CJ61" s="106"/>
      <c r="CK61" s="106"/>
      <c r="CL61" s="106"/>
      <c r="CM61" s="106"/>
      <c r="CN61" s="106"/>
      <c r="CO61" s="106"/>
      <c r="CP61" s="106"/>
      <c r="CQ61" s="106"/>
      <c r="CR61" s="106"/>
      <c r="CS61" s="106"/>
      <c r="CT61" s="106"/>
      <c r="CU61" s="106"/>
      <c r="CV61" s="106"/>
      <c r="CW61" s="106"/>
      <c r="CX61" s="106"/>
      <c r="CY61" s="106"/>
      <c r="CZ61" s="106"/>
      <c r="DA61" s="106"/>
      <c r="DB61" s="106"/>
      <c r="DC61" s="106"/>
      <c r="DD61" s="106"/>
      <c r="DE61" s="106"/>
      <c r="DF61" s="106"/>
      <c r="DG61" s="106"/>
      <c r="DH61" s="106"/>
      <c r="DI61" s="106"/>
      <c r="DJ61" s="106"/>
      <c r="DK61" s="106"/>
      <c r="DL61" s="106"/>
      <c r="DM61" s="106"/>
      <c r="DN61" s="106"/>
      <c r="DO61" s="106"/>
      <c r="DP61" s="106"/>
      <c r="DQ61" s="106"/>
      <c r="DR61" s="106"/>
      <c r="DS61" s="106"/>
      <c r="DT61" s="106"/>
      <c r="DU61" s="106"/>
      <c r="DV61" s="106"/>
      <c r="DW61" s="106"/>
      <c r="DX61" s="106"/>
      <c r="DY61" s="106"/>
      <c r="DZ61" s="106"/>
      <c r="EA61" s="106"/>
      <c r="EB61" s="106"/>
      <c r="EC61" s="106"/>
      <c r="ED61" s="106"/>
      <c r="EE61" s="106"/>
      <c r="EF61" s="106"/>
      <c r="EG61" s="106"/>
    </row>
    <row r="62" spans="1:137" s="2" customFormat="1" ht="15" hidden="1" customHeight="1">
      <c r="A62" s="3"/>
      <c r="B62" s="3"/>
      <c r="C62" s="3"/>
      <c r="D62" s="3"/>
      <c r="E62" s="3"/>
      <c r="F62" s="3"/>
      <c r="G62" s="3"/>
      <c r="H62" s="3"/>
      <c r="I62" s="3"/>
      <c r="J62" s="3"/>
      <c r="K62" s="3"/>
      <c r="L62" s="3"/>
      <c r="M62" s="8"/>
      <c r="N62" s="3"/>
      <c r="O62" s="3"/>
      <c r="P62" s="2">
        <v>2</v>
      </c>
      <c r="Q62" s="13" t="str">
        <f>IF(AND(V5=2,R48=2),"Bygningsplater",IF(AND(V5=3,R48=2),"Bygningsplater",IF(AND(V5=2,R48=3),"Fugemasser",IF(AND(V5=3,R48=3),"Maling og lakk som anvendes på stedet","-"))))</f>
        <v>-</v>
      </c>
      <c r="R62" s="3" t="b">
        <f>IF(AND(V5=2,$R$48=3,$R$60=2),TRUE,FALSE)</f>
        <v>0</v>
      </c>
      <c r="S62" s="41" t="b">
        <f>IF(AND(V5=3,$R$48=3,$R$60=2),TRUE,FALSE)</f>
        <v>0</v>
      </c>
      <c r="T62" s="3" t="b">
        <f>IF(AND(V5=2,$R$48=2,$R$52=3,$R$60=2),TRUE,FALSE)</f>
        <v>0</v>
      </c>
      <c r="U62" s="3" t="b">
        <f>IF(AND(V5=2,$R$48=2,$R$52=2,$R$60=2),TRUE,FALSE)</f>
        <v>0</v>
      </c>
      <c r="V62" s="41" t="b">
        <f>IF(AND($V$5=3,$R$48=2,$R$52=2,$R$60=2),TRUE,FALSE)</f>
        <v>0</v>
      </c>
      <c r="W62" s="7" t="str">
        <f>IF($R$62=TRUE,"fugemasser",IF($S$62=TRUE,"maling og lakk",IF(T62=TRUE,"bygningsplater",IF(U62=TRUE,"bygningsplater",IF(V62=TRUE,"bygningsplater","")))))</f>
        <v/>
      </c>
      <c r="X62" s="7" t="str">
        <f>IF($R$62=TRUE,"1.",IF($S$62=TRUE,"A1.",IF($T$62=TRUE,"1.",IF(U62=TRUE,"1.",IF(V62=TRUE,"1.","")))))</f>
        <v/>
      </c>
      <c r="Y62" s="7" t="str">
        <f>IF($R$62=TRUE,"Produktet har en emisjonstest som viser at emisjoner av TVOC er under 0,2 mg/m²h ¹⁾  ²⁾",IF($S$62=TRUE,"Grenseverdi for VOC-innhold:"&amp;"
Innendørsmaling og -lakk som anvendes på stedet og defineres som kategori a, b, d, e, g, h, i, j, k eller ifølge vedlegg I til direktiv 2004/42/EF, skal oppfylle korresponderende øvre grenseverdier for VOC-innhold som definert i vedlegg II/A",IF(T62=TRUE,"Arsen",IF(U62=TRUE,"Arsen",IF(V62=TRUE,"Arsen","")))))</f>
        <v/>
      </c>
      <c r="Z62" s="7" t="str">
        <f>IF($R$62=TRUE,"NS-EN 15251:2007 (tillegg C)",IF($S$62=TRUE,"1. EU-direktiv 2004/42/EF
2. NS-EN 15251:2007 (tillegg C)",""))</f>
        <v/>
      </c>
      <c r="AA62" s="7" t="str">
        <f>IF($S$62=TRUE,"1. ISO 11890-2:2013  – Del 2:
Gasskromatografisk metode"&amp;"
2. ISO 16000-9 (eller ISO 16000-10) sammen med ISO 16000-6 (flyktige organiske forbindelser) og
ISO 16000-3 (formaldehyd)","")</f>
        <v/>
      </c>
      <c r="AB62" s="4" t="str">
        <f>IF($R$62=TRUE,"2.",IF($S$62=TRUE,"A2.",IF(T62=TRUE,"2.",IF(U62=TRUE,"2.",IF(V62=TRUE,"2.","")))))</f>
        <v/>
      </c>
      <c r="AC62" s="4" t="str">
        <f>IF($R$62=TRUE,"Produktet har en emisjonstest som viser at emisjoner av formaldehyd er under 0,05 mg/m²h ¹⁾  ²⁾",IF($S$62=TRUE,"Grenseverdier for VOC-utslipp: 
Innendørsmaling og -lakk for vegg, gulv og himlinger som anvendes på stedet og defineres som kategori a, b, i eller j ifølge vedlegg til 2004/43/EF, skal oppfylle følgende utslippskriterier:",IF(T62=TRUE,"Bly",IF(U62=TRUE,"Bly",IF(V62=TRUE,"Bly","")))))</f>
        <v/>
      </c>
      <c r="AD62" s="4" t="str">
        <f>IF($R$62=TRUE,"NS-EN 15251:2007 (tillegg C)","")</f>
        <v/>
      </c>
      <c r="AE62" s="11"/>
      <c r="AF62" s="4" t="str">
        <f>IF($R$62=TRUE,"3.a",IF(T62=TRUE,"3.",IF(U62=TRUE,"3.",IF(V62=TRUE,"3.",""))))</f>
        <v/>
      </c>
      <c r="AG62" s="4" t="str">
        <f>IF($R$62=TRUE,"Produktet har en emisjonstest som viser at emisjoner av ammoniakk er under 0,03 mg/m²h ¹⁾  ²⁾  ³⁾",IF($S$62=TRUE,"TVOC: 200 μg/m²h etter 28 dager, 
alternativt 417 μg/m³ etter 28 dager (vegg), 
160 μg/m³ etter 28 dager (gulv og himling),",IF(T62=TRUE,"Bromerte flammehemmere (HBCDD, TBBPA)",IF(U62=TRUE,"Bromerte flammehemmere (HBCDD, TBBPA)",IF(V62=TRUE,"Bromerte flammehemmere (HBCD, TBBPA)","")))))</f>
        <v/>
      </c>
      <c r="AH62" s="4" t="str">
        <f>IF($R$62=TRUE,"NS-EN 15251:2007 (tillegg C)",IF($S$62=TRUE,"1. EU-direktiv 2004/42/EF
2. NS-EN 15251:2007 (tillegg C)",""))</f>
        <v/>
      </c>
      <c r="AI62" s="4" t="str">
        <f>IF($S$62=TRUE,"1. ISO 11890-2:2013  – Del 2:
Gasskromatografisk metode"&amp;"
2. ISO 16000-9 (eller ISO 16000-10) sammen med ISO 16000-6 (flyktige organiske forbindelser) og
ISO 16000-3 (formaldehyd)","")</f>
        <v/>
      </c>
      <c r="AJ62" s="4"/>
      <c r="AK62" s="4" t="str">
        <f>IF($R$62=TRUE,"3.b",IF(T62=TRUE,"4.",IF(U62=TRUE,"4.",IF(V62=TRUE,"4.",""))))</f>
        <v/>
      </c>
      <c r="AL62" s="4" t="str">
        <f>IF($R$62=TRUE,"Produktet har ikke en emisjonstest som måler emisjoner av ammoniakk, men undertegnede kan bekrefte:
1)   at ammoniakk ikke er sporbart aktivt i produktet, OG
2)   at produktet ikke inneholder stoffer som kan avspaltes til ammoniakk",IF(S62=TRUE,"FORMALDEHYD: 62 μg/m²h etter 3 dager eller 50 μg/m²h etter 28 dager, alternativt 50 μg/m³ etter 3 dager eller 104 μg/m³ etter 28 dager (vegg)
50 μg/m³ etter 3 dager (gulv og himling),",IF($T$62=TRUE,"Ftalater (DEHP, DBP,BBP)",IF($U$62=TRUE,"Ftalater (DEHP)",IF($V$62=TRUE,"Ftalater (DEHP)","")))))</f>
        <v/>
      </c>
      <c r="AM62" s="4" t="str">
        <f>IF($S$62=TRUE,"1. EU-direktiv 2004/42/EF
2. NS-EN 15251:2007 (tillegg C)",IF($R$62=TRUE,
"EN 717-1:2004
EN 13999-2:2007
EN 13999-3:2007
EN 13999-4:2007
EN 12149:1997",IF($R$62=TRUE,"","")))</f>
        <v/>
      </c>
      <c r="AN62" s="4" t="str">
        <f>IF($S$62=TRUE,"1. ISO 11890-2:2013  – Del 2:
Gasskromatografisk metode"&amp;"
2. ISO 16000-9 (eller ISO 16000-10) sammen med ISO 16000-6 (flyktige organiske forbindelser) og
ISO 16000-3 (formaldehyd)","")</f>
        <v/>
      </c>
      <c r="AO62" s="4" t="str">
        <f>IF($R$62=TRUE,"4.",IF(T62=TRUE,"5.",IF(U62=TRUE,"5.",IF(V62=TRUE,"5.",""))))</f>
        <v/>
      </c>
      <c r="AP62" s="4" t="str">
        <f>IF(S62=TRUE,"KREFTFREMKALLENDE: 5 μg/m²h, alternativt 10 μg/m³ (vegg)
 4 μg/m³ (gulv og himling).",IF($R$62=TRUE,"Produktet har en emisjonstest som viser at emisjoner av kreftfremkallende forbindelser (IARC) er under 0,005 mg/m²h ¹⁾  ²⁾",IF(T62=TRUE,"Krom",IF(U62=TRUE,"Krom",IF(V62=TRUE,"Krom","")))))</f>
        <v/>
      </c>
      <c r="AQ62" s="4" t="str">
        <f>IF($S$62=TRUE,"1. EU-direktiv 2004/42/EF
2. NS-EN 15251:2007 (tillegg C)",IF($R$62=TRUE,"NS-EN 15251:2007 (tillegg C)",""))</f>
        <v/>
      </c>
      <c r="AR62" s="61" t="str">
        <f>IF($S$62=TRUE,"1. ISO 11890-2:2013  – Del 2:
Gasskromatografisk metode"&amp;"
2. ISO 16000-9 (eller ISO 16000-10) sammen med ISO 16000-6 (flyktige organiske forbindelser) og
ISO 16000-3 (formaldehyd)","")</f>
        <v/>
      </c>
      <c r="AS62" s="4" t="str">
        <f>IF($S$62=TRUE,"A3.",IF($R$62=TRUE,"5.",IF(T62=TRUE,"6.",IF(U62=TRUE,"6.",IF(V62=TRUE,"6.","")))))</f>
        <v/>
      </c>
      <c r="AT62" s="4" t="str">
        <f>IF($S$62=TRUE,"Bekreftelse med teknisk datablad eller vedlikeholdsdokumentasjon på at malingen er sopp- og algebestandig for våtrom som bad, kjøkken og vaskerom",IF($R$62=TRUE,"Produktet har en emisjonstest som viser at misnøye med lukt er under 15%. 
Gjelder kun hvis relevant for produktet ¹⁾",IF(T62=TRUE,"Oktyl-/nonylfenoler",IF(U62=TRUE,"Oktyl-/nonylfenoler",IF(V62=TRUE,"Oktyl-/nonylfenol","")))))</f>
        <v/>
      </c>
      <c r="AU62" s="4" t="str">
        <f>IF($R$62=TRUE,"NS-EN 15251:2007 (tillegg C)","")</f>
        <v/>
      </c>
      <c r="AV62" s="4"/>
      <c r="AW62" s="4" t="str">
        <f>IF($R$62=TRUE,"6.",IF($T$62=TRUE,"7.",IF($U$62=TRUE,"7.","")))</f>
        <v/>
      </c>
      <c r="AX62" s="4" t="str">
        <f>IF($R$62=TRUE,"Testene i punkt 1 – 5 er utført iht. ISO 16000-serien med målinger gjort etter 28 dager",IF($T$62=TRUE,"Bisfenol A ¹⁾",IF($U$62=TRUE,"Bisfenol A ¹⁾","")))</f>
        <v/>
      </c>
      <c r="AY62" s="4" t="str">
        <f>IF($R$62=TRUE,"ISO 16000","")</f>
        <v/>
      </c>
      <c r="AZ62" s="4"/>
      <c r="BA62" s="4"/>
      <c r="BB62" s="4"/>
      <c r="BC62" s="4"/>
      <c r="BD62" s="4"/>
      <c r="BE62" s="4"/>
      <c r="BF62" s="4"/>
      <c r="BG62" s="4"/>
      <c r="BH62" s="4"/>
      <c r="BI62" s="4"/>
      <c r="BJ62" s="4"/>
      <c r="BK62" s="4"/>
      <c r="BL62" s="4"/>
      <c r="BM62" s="4" t="str">
        <f>IF(R62=TRUE,"¹⁾ Under «Vanlig stilte spørsmål» på www.ngbc.no gis hjelp til å vurdere ulike kjente emisjonssertifikater opp mot kravene i NS-EN 15251.",IF(T62=TRUE,"¹⁾ All polykarbonat inneholder bisfenol A",IF(U62=TRUE,"¹⁾ All polykarbonat inneholder bisfenol A","")))</f>
        <v/>
      </c>
      <c r="BN62" s="4" t="str">
        <f>IF(R62=TRUE,"²⁾ Merk at emisjonene her er oppgitt i mg/m²h. De fleste emisjonssertifikater oppgir emisjoner i mg/m³. Det finnes en metode for å konvertere disse slik at man kan sammenligne resultater. Deres foretrukne laboratorium kan bistå dere med dette.","")</f>
        <v/>
      </c>
      <c r="BO62" s="4" t="str">
        <f>IF(R62=TRUE,"³⁾ Merk at M1 er den eneste kjente emisjonsmerkeordningen der ammoniakk inngår som en av de emisjonene som måles.","")</f>
        <v/>
      </c>
      <c r="BP62" s="3" t="b">
        <f>OR(T62,U62)</f>
        <v>0</v>
      </c>
      <c r="BQ62" s="3"/>
      <c r="BR62" s="3"/>
      <c r="BS62" s="3"/>
      <c r="BT62" s="3"/>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row>
    <row r="63" spans="1:137" s="2" customFormat="1" ht="15" hidden="1" customHeight="1">
      <c r="A63" s="3"/>
      <c r="B63" s="3"/>
      <c r="C63" s="3"/>
      <c r="D63" s="3"/>
      <c r="E63" s="3"/>
      <c r="F63" s="3"/>
      <c r="G63" s="3"/>
      <c r="H63" s="3"/>
      <c r="I63" s="3"/>
      <c r="J63" s="3"/>
      <c r="K63" s="3"/>
      <c r="L63" s="3"/>
      <c r="M63" s="8"/>
      <c r="N63" s="3"/>
      <c r="O63" s="3"/>
      <c r="P63" s="2">
        <v>3</v>
      </c>
      <c r="Q63" s="13" t="str">
        <f>IF(AND(V5=2,R48=2),"Tapet",IF(AND(V5=2,R48=3),"Halvharde gulvbelegg, tekstile gulvbelegg og laminatgulv",IF(AND(V5=3,R48=2),"Gulvbelegg i vinyl eller PVC",IF(AND(V5=3,R48=3),"Treplater","-"))))</f>
        <v>-</v>
      </c>
      <c r="R63" s="3" t="b">
        <f>IF(AND(V5=2,$R$48=3,$R$60=3),TRUE,FALSE)</f>
        <v>0</v>
      </c>
      <c r="S63" s="41" t="b">
        <f>IF(AND(V5=3,$R$48=3,$R$60=3),TRUE,FALSE)</f>
        <v>0</v>
      </c>
      <c r="T63" s="3" t="b">
        <f>IF(AND(V5=2,$R$48=2,$R$52=3,$R$60=3),TRUE,FALSE)</f>
        <v>0</v>
      </c>
      <c r="U63" s="3" t="b">
        <f>IF(AND(V5=2,$R$48=2,$R$52=2,$R$60=3),TRUE,FALSE)</f>
        <v>0</v>
      </c>
      <c r="V63" s="41" t="b">
        <f>IF(AND($V$5=3,$R$48=2,$R$52=2,$R$60=3),TRUE,FALSE)</f>
        <v>0</v>
      </c>
      <c r="W63" s="7" t="str">
        <f>IF(R63=TRUE,"halvharde gulvbelegg, tekstile gulvbelegg og laminatgulv",IF(S63=TRUE,"treplater",IF(T63=TRUE,"tapeter",IF(U63=TRUE,"tapeter",IF(V63=TRUE,"gulvbelegg i vinyl eller PVC","")))))</f>
        <v/>
      </c>
      <c r="X63" s="7" t="str">
        <f>IF($R$63=TRUE,"1.a",IF($S$63=TRUE,"B1.",IF(T63=TRUE,"1.",IF(U63=TRUE,"1.",IF(V63=TRUE,"1.","")))))</f>
        <v/>
      </c>
      <c r="Y63" s="7" t="str">
        <f>IF($R$63=TRUE,"Produktet kan klassifiseres som E1 iht. testmetode EN 717-1:2004",IF($S$63=TRUE,"1. Formaldehyd E1-nivå
2. TVOC: 200 μg/m²h (tilsvarer 417 μg/m³ for veggprodukter), kreftfremkallende: 5 μg/m²h (tilsvarer 10 μg/m³ for veggprodukter) etter 28 dager.",IF(T63=TRUE,"Arsen",IF(U63=TRUE,"Arsen",IF(V63=TRUE,"Ftalater (DEHP)","")))))</f>
        <v/>
      </c>
      <c r="Z63" s="7" t="str">
        <f>IF($R$63=TRUE,"EN 14041:2004
EN 717-1:2004",IF($S$63=TRUE,"EN 717-1:2004, EN 717-2:1994, 
EN 120:1992 og ISO 16000-9 sammen med ISO 16000-6.",""))</f>
        <v/>
      </c>
      <c r="AA63" s="7" t="str">
        <f>IF(S63=TRUE,"Prøving og beregning i samsvar med EN 16516","")</f>
        <v/>
      </c>
      <c r="AB63" s="4" t="str">
        <f>IF($R$63=TRUE,"1.b",IF($S$63=TRUE,"B2.",IF(T63=TRUE,"2.",IF(U63=TRUE,"2.",IF(V63=TRUE,"2.","")))))</f>
        <v/>
      </c>
      <c r="AC63" s="4" t="str">
        <f>IF($R$63=TRUE,"Undertegnede kan bekrefte at produktet ikke er tilsatt noen materialer som inneholder formaldehyd under produksjon eller ved bearbeiding etter produksjonen. Disse kan klassifiseres som E1 uten prøving",IF($S$63=TRUE,"Undertegnede bekrefter fravær av regulerte treimpregneringsmidler.",IF(T63=TRUE,"Bly",IF(U63=TRUE,"Bly",IF(V63=TRUE,"Bromerte flammehemmere (HBCD, TBBPA)","")))))</f>
        <v/>
      </c>
      <c r="AD63" s="4" t="str">
        <f>IF($R$63=TRUE,"EN 14041:2004","")</f>
        <v/>
      </c>
      <c r="AE63" s="11"/>
      <c r="AF63" s="4" t="str">
        <f>IF($R$63=TRUE,"2.",IF(T63=TRUE,"3.",IF(U63=TRUE,"3.",IF(V63=TRUE,"3.",""))))</f>
        <v/>
      </c>
      <c r="AG63" s="4" t="str">
        <f>IF($R$63=TRUE,"Produktet har en emisjonstest som viser at emisjoner av TVOC er under 0,2 mg/m²h ¹⁾  ²⁾",IF(T63=TRUE,"Bromerte flammehemmere (HBCDD, TBBPA)",IF(U63=TRUE,"Bromerte flammehemmere (HBCDD, TBBPA)",IF($V$63=TRUE,"Bisfenol A",""))))</f>
        <v/>
      </c>
      <c r="AH63" s="4" t="str">
        <f>IF($R$63=TRUE,"NS-EN 15251:2007 (tillegg C)","")</f>
        <v/>
      </c>
      <c r="AI63" s="4"/>
      <c r="AJ63" s="4"/>
      <c r="AK63" s="4" t="str">
        <f>IF($R$63=TRUE,"3.",IF(T63=TRUE,"4.",IF(U63=TRUE,"4.",IF(V63=TRUE,"4.",""))))</f>
        <v/>
      </c>
      <c r="AL63" s="4" t="str">
        <f>IF($R$63=TRUE,"Produktet har ikke en emisjonstest som måler emisjoner av ammoniakk, men undertegnede kan bekrefte:
1)   at ammoniakk ikke er sporbart aktivt i produktet, OG
2)   at produktet ikke inneholder stoffer som kan avspaltes til ammoniakk",IF($T$63=TRUE,"Ftalater (DEHP, DBP, BBP)",IF($U$63=TRUE,"Ftalater (DEHP)",IF(V63=TRUE,"Bly",""))))</f>
        <v/>
      </c>
      <c r="AM63" s="4" t="str">
        <f>IF($R$63=TRUE,
"EN 717-1:2004
EN 13999-2:2007
EN 13999-3:2007
EN 13999-4:2007
EN 12149:1997",IF($R$62=TRUE,"",""))</f>
        <v/>
      </c>
      <c r="AN63" s="4"/>
      <c r="AO63" s="4" t="str">
        <f>IF($R$63=TRUE,"4.a",IF(T63=TRUE,"5.",IF(U63=TRUE,"5.",IF(V63=TRUE,"5.",""))))</f>
        <v/>
      </c>
      <c r="AP63" s="4" t="str">
        <f>IF($R$63=TRUE,"Produktet har en emisjonstest som viser at emisjoner av ammoniakk er under 0,03 mg/m²h ¹⁾  ²⁾  ³⁾",IF(T63=TRUE,"Mellomkjedede klorparafiner",IF(U63=TRUE,"Mellomkjedede klorparafiner",IF(V63=TRUE,"Mellomkjedede klorerte parafiner",""))))</f>
        <v/>
      </c>
      <c r="AQ63" s="4" t="str">
        <f>IF($R$63=TRUE,"NS-EN 15251:2007 (tillegg C)","")</f>
        <v/>
      </c>
      <c r="AR63" s="4"/>
      <c r="AS63" s="4" t="str">
        <f>IF($R$63=TRUE,"4.b",IF($V$63=TRUE,"6.",""))</f>
        <v/>
      </c>
      <c r="AT63" s="4" t="str">
        <f>IF($R$63=TRUE,"Produktet har en emisjonstest som viser at misnøye med lukt er under 15 %. 
Gjelder kun hvis relevant for produktet ¹⁾",IF($V$63=TRUE,"Arsen",""))</f>
        <v/>
      </c>
      <c r="AU63" s="4" t="str">
        <f>IF($R$63=TRUE,"NS-EN 15251:2007 (tillegg C)","")</f>
        <v/>
      </c>
      <c r="AV63" s="4"/>
      <c r="AW63" s="4" t="str">
        <f>IF($R$63=TRUE,"5.","")</f>
        <v/>
      </c>
      <c r="AX63" s="4" t="str">
        <f>IF($R$63=TRUE,"Produktet har en emisjonstest som viser at emisjoner av kreftfremkallende forbindelser (IARC) er under 0,005 mg/m²h ¹⁾  ²⁾","")</f>
        <v/>
      </c>
      <c r="AY63" s="4" t="str">
        <f>IF($R$63=TRUE,"NS-EN 15251:2007 (tillegg C)","")</f>
        <v/>
      </c>
      <c r="AZ63" s="4"/>
      <c r="BA63" s="4" t="str">
        <f>IF($R$63=TRUE,"6.","")</f>
        <v/>
      </c>
      <c r="BB63" s="4" t="str">
        <f>IF($R$63=TRUE,"Produktet har en emisjonstest som viser at emisjoner av formaldehyd er under 0,05 mg/m²h ¹⁾  ²⁾","")</f>
        <v/>
      </c>
      <c r="BC63" s="4" t="str">
        <f>IF($R$63=TRUE,"NS-EN 15251:2007 (tillegg C)","")</f>
        <v/>
      </c>
      <c r="BD63" s="4"/>
      <c r="BE63" s="4" t="str">
        <f>IF($R$63=TRUE,"7.","")</f>
        <v/>
      </c>
      <c r="BF63" s="4" t="str">
        <f>IF($R$63=TRUE,"Testene i punkt 2 – 6 er utført iht. ISO 16000-serien med målinger gjort etter 28 dager","")</f>
        <v/>
      </c>
      <c r="BG63" s="4" t="str">
        <f>IF($R$63=TRUE,"ISO 16000","")</f>
        <v/>
      </c>
      <c r="BH63" s="4"/>
      <c r="BI63" s="4" t="str">
        <f>IF($R$63=TRUE,"8.","")</f>
        <v/>
      </c>
      <c r="BJ63" s="4" t="str">
        <f>IF($R$63=TRUE,"Undertegnede kan bekrefte fravær av regulerte impregneringsmidler og at minimumsnivå er overholdt","")</f>
        <v/>
      </c>
      <c r="BK63" s="4" t="str">
        <f>IF($R$63=TRUE,"EN 14041:2004","")</f>
        <v/>
      </c>
      <c r="BL63" s="4"/>
      <c r="BM63" s="4" t="str">
        <f>IF(R63=TRUE,"¹⁾ Under «Vanlig stilte spørsmål» på www.ngbc.no gis hjelp til å vurdere ulike kjente emisjonssertifikater opp mot kravene i NS-EN 15251.","")</f>
        <v/>
      </c>
      <c r="BN63" s="4" t="str">
        <f>IF(R63=TRUE,"²⁾ Merk at emisjonene her er oppgitt i mg/m²h. De fleste emisjonssertifikater oppgir emisjoner i mg/m³. Det finnes en metode for å konvertere disse slik at man kan sammenligne resultater. Deres foretrukne laboratorium kan bistå dere med dette.","")</f>
        <v/>
      </c>
      <c r="BO63" s="4" t="str">
        <f>IF(R63=TRUE,"³⁾ Merk at M1 er den eneste kjente emisjonsmerkeordningen der ammoniakk inngår som en av de emisjonene som måles.","")</f>
        <v/>
      </c>
      <c r="BP63" s="3" t="b">
        <f>OR(T63,U63)</f>
        <v>0</v>
      </c>
      <c r="BQ63" s="3"/>
      <c r="BR63" s="3"/>
      <c r="BS63" s="3"/>
      <c r="BT63" s="3"/>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row>
    <row r="64" spans="1:137" s="2" customFormat="1" ht="15" hidden="1" customHeight="1">
      <c r="A64" s="3"/>
      <c r="B64" s="3"/>
      <c r="C64" s="3"/>
      <c r="D64" s="3"/>
      <c r="E64" s="3"/>
      <c r="F64" s="3"/>
      <c r="G64" s="3"/>
      <c r="H64" s="3"/>
      <c r="I64" s="3"/>
      <c r="J64" s="3"/>
      <c r="K64" s="3"/>
      <c r="L64" s="3"/>
      <c r="M64" s="3"/>
      <c r="N64" s="3"/>
      <c r="O64" s="3"/>
      <c r="P64" s="2">
        <v>4</v>
      </c>
      <c r="Q64" s="13" t="str">
        <f>IF(AND(V5=2,R48=2),"Tepper",IF(AND(V5=2,R48=3),"Gulvlim",IF(AND(V5=3,R48=3),"Trekonstruksjoner",IF(AND(V5=3,R48=2),"Polykarbonatplater","-"))))</f>
        <v>-</v>
      </c>
      <c r="R64" s="3" t="b">
        <f>IF(AND(V5=2,$R$48=3,$R$60=4),TRUE,FALSE)</f>
        <v>0</v>
      </c>
      <c r="S64" s="41" t="b">
        <f>IF(AND(V5=3,$R$48=3,$R$60=4),TRUE,FALSE)</f>
        <v>0</v>
      </c>
      <c r="T64" s="3" t="b">
        <f>IF(AND(V5=2,$R$48=2,$R$52=3,$R$60=4),TRUE,FALSE)</f>
        <v>0</v>
      </c>
      <c r="U64" s="3" t="b">
        <f>IF(AND(V5=2,$R$48=2,$R$52=2,$R$60=4),TRUE,FALSE)</f>
        <v>0</v>
      </c>
      <c r="V64" s="41" t="b">
        <f>IF(AND($V$5=3,$R$48=2,$R$52=2,$R$60=4),TRUE,FALSE)</f>
        <v>0</v>
      </c>
      <c r="W64" s="7" t="str">
        <f>IF(R64=TRUE,"gulvlim",IF(S64=TRUE,"trekonstruksjoner",IF(T64=TRUE,"tepper",IF(U64=TRUE,"tepper",IF(V64=TRUE,"polykarbonatplater","")))))</f>
        <v/>
      </c>
      <c r="X64" s="7" t="str">
        <f>IF($R$64=TRUE,"1.",IF($S$64=TRUE,"C1.",IF(T64=TRUE,"1.",IF(U64=TRUE,"1.",IF($V$64=TRUE,"1.","")))))</f>
        <v/>
      </c>
      <c r="Y64" s="7" t="str">
        <f>IF($R$64=TRUE,"Produktet har en emisjonstest som viser at emisjoner av TVOC er under 0,2 mg/m²h ¹⁾  ²⁾",IF($S$64=TRUE,"1. Formaldehyd E1-nivå
2. TVOC: 200 μg/m²h (tilsvarer 417 μg/m³ for veggprodukter), kreftfremkallende: 5 μg/m²h (tilsvarer 10 μg/m³ for veggprodukter) etter 28 dager.",IF(T64=TRUE,"PFOS/PFOA ¹⁾",IF(U64=TRUE,"PFOS/PFOA ¹⁾",IF($V$64=TRUE,"Bisfenol A ¹⁾","")))))</f>
        <v/>
      </c>
      <c r="Z64" s="7" t="str">
        <f>IF($R$64=TRUE,"NS-EN 15251:2007 (tillegg C)",IF($S$64=TRUE,"1. EN 717-1:2004, EN 717-2:1994, 
EN 120:1992.
2. ISO 16000-9 med ISO 16000-6.",""))</f>
        <v/>
      </c>
      <c r="AA64" s="7" t="str">
        <f>IF(S64=TRUE,"Prøving og beregning i samsvar med EN 16516","")</f>
        <v/>
      </c>
      <c r="AB64" s="4" t="str">
        <f>IF($R$64=TRUE,"2.",IF($S$64=TRUE,"C2.",""))</f>
        <v/>
      </c>
      <c r="AC64" s="4" t="str">
        <f>IF($R$64=TRUE,"Produktet har en emisjonstest som viser at emisjoner av formaldehyd er under 0,05 mg/m²h ¹⁾  ²⁾",IF($S$64=TRUE,"Undertegnede bekrefter fravær av regulerte treimpregneringsmidler.",""))</f>
        <v/>
      </c>
      <c r="AD64" s="4" t="str">
        <f>IF($R$64=TRUE,"NS-EN 15251:2007 (tillegg C)","")</f>
        <v/>
      </c>
      <c r="AE64" s="11"/>
      <c r="AF64" s="4" t="str">
        <f>IF($R$64=TRUE,"3.a","")</f>
        <v/>
      </c>
      <c r="AG64" s="4" t="str">
        <f>IF($R$64=TRUE,"Produktet har en emisjonstest som viser at emisjoner av ammoniakk er under 0,03 mg/m²h ¹⁾  ²⁾  ³⁾","")</f>
        <v/>
      </c>
      <c r="AH64" s="4" t="str">
        <f>IF($R$64=TRUE,"NS-EN 15251:2007 (tillegg C)","")</f>
        <v/>
      </c>
      <c r="AI64" s="61"/>
      <c r="AJ64" s="4"/>
      <c r="AK64" s="4" t="str">
        <f>IF($R$64=TRUE,"3.b","")</f>
        <v/>
      </c>
      <c r="AL64" s="4" t="str">
        <f>IF($R$64=TRUE,"Produktet har ikke en emisjonstest som måler emisjoner av ammoniakk, men undertegnede kan bekrefte:
1)   at ammoniakk ikke er sporbart aktivt i produktet, OG
2)   at produktet ikke inneholder stoffer som kan avspaltes til ammoniakk","")</f>
        <v/>
      </c>
      <c r="AM64" s="4" t="str">
        <f>IF($R$64=TRUE,
"EN 717-1:2004
EN 13999-2:2007
EN 13999-3:2007
EN 13999-4:2007
EN 12149:1997","")</f>
        <v/>
      </c>
      <c r="AN64" s="61"/>
      <c r="AO64" s="4" t="str">
        <f>IF($R$64=TRUE,"4.","")</f>
        <v/>
      </c>
      <c r="AP64" s="4" t="str">
        <f>IF($R$64=TRUE,"Produktet har en emisjonstest som viser at emisjoner av kreftfremkallende forbindelser (IARC) er under 0,005 mg/m²h ¹⁾  ²⁾","")</f>
        <v/>
      </c>
      <c r="AQ64" s="4" t="str">
        <f>IF($R$64=TRUE,"NS-EN 15251:2007 (tillegg C)","")</f>
        <v/>
      </c>
      <c r="AR64" s="61"/>
      <c r="AS64" s="4" t="str">
        <f>IF($R$64=TRUE,"5.","")</f>
        <v/>
      </c>
      <c r="AT64" s="4" t="str">
        <f>IF($R$64=TRUE,"Produktet har en emisjonstest som viser at misnøye med lukt er under 15 %. 
Gjelder kun hvis relevant for produktet ¹⁾","")</f>
        <v/>
      </c>
      <c r="AU64" s="4" t="str">
        <f>IF($R$64=TRUE,"NS-EN 15251:2007 (tillegg C)","")</f>
        <v/>
      </c>
      <c r="AV64" s="61"/>
      <c r="AW64" s="4" t="str">
        <f>IF($R$64=TRUE,"6.","")</f>
        <v/>
      </c>
      <c r="AX64" s="4" t="str">
        <f>IF($R$64=TRUE,"Testene i punkt 1 – 5 er utført iht. ISO 16000-serien med målinger gjort etter 28 dager","")</f>
        <v/>
      </c>
      <c r="AY64" s="4" t="str">
        <f>IF($R$64=TRUE,"ISO 16000","")</f>
        <v/>
      </c>
      <c r="AZ64" s="61"/>
      <c r="BA64" s="4" t="str">
        <f>IF($R$64=TRUE,"7.","")</f>
        <v/>
      </c>
      <c r="BB64" s="4" t="str">
        <f>IF($R$64=TRUE,"Produktet har utført tester iht. følgende standarder, og kan bekrefte fravær av kreft- og allergifremkallende stoffer:
- VOC
- Flyktige aldehyder
- Flyktige diisocyanater","")</f>
        <v/>
      </c>
      <c r="BC64" s="4" t="str">
        <f>IF($R$64=TRUE,"EN 13999-1 :2007
EN 13999-2:2007
EN 13999-3:2007
EN 13999-4:2007","")</f>
        <v/>
      </c>
      <c r="BD64" s="61"/>
      <c r="BE64" s="4"/>
      <c r="BF64" s="4"/>
      <c r="BG64" s="4"/>
      <c r="BH64" s="4"/>
      <c r="BI64" s="4"/>
      <c r="BJ64" s="4"/>
      <c r="BK64" s="4"/>
      <c r="BL64" s="4"/>
      <c r="BM64" s="4" t="str">
        <f>IF(R64=TRUE,"¹⁾ Under «Vanlig stilte spørsmål» på www.ngbc.no gis hjelp til å vurdere ulike kjente emisjonssertifikater opp mot kravene i NS-EN 15251.",IF(V64=TRUE,"¹⁾ All polykarbonat inneholder bisfenol A",""))</f>
        <v/>
      </c>
      <c r="BN64" s="4" t="str">
        <f>IF(R64=TRUE,"²⁾ Merk at emisjonene her er oppgitt i mg/m²h. De fleste emisjonssertifikater oppgir emisjoner i mg/m³. Det finnes en metode for å konvertere disse slik at man kan sammenligne resultater. Deres foretrukne laboratorium kan bistå dere med dette.","")</f>
        <v/>
      </c>
      <c r="BO64" s="4" t="str">
        <f>IF(R64=TRUE,"³⁾ Merk at M1 er den eneste kjente emisjonsmerkeordningen der ammoniakk inngår som en av de emisjonene som måles.","")</f>
        <v/>
      </c>
      <c r="BP64" s="3" t="b">
        <f t="shared" ref="BP64:BP70" si="0">OR(T64,U64)</f>
        <v>0</v>
      </c>
      <c r="BQ64" s="3"/>
      <c r="BR64" s="3"/>
      <c r="BS64" s="3"/>
      <c r="BT64" s="3"/>
      <c r="BU64" s="106"/>
      <c r="BV64" s="106"/>
      <c r="BW64" s="106"/>
      <c r="BX64" s="106"/>
      <c r="BY64" s="106"/>
      <c r="BZ64" s="106"/>
      <c r="CA64" s="106"/>
      <c r="CB64" s="106"/>
      <c r="CC64" s="106"/>
      <c r="CD64" s="106"/>
      <c r="CE64" s="106"/>
      <c r="CF64" s="106"/>
      <c r="CG64" s="106"/>
      <c r="CH64" s="106"/>
      <c r="CI64" s="106"/>
      <c r="CJ64" s="106"/>
      <c r="CK64" s="106"/>
      <c r="CL64" s="106"/>
      <c r="CM64" s="106"/>
      <c r="CN64" s="106"/>
      <c r="CO64" s="106"/>
      <c r="CP64" s="106"/>
      <c r="CQ64" s="106"/>
      <c r="CR64" s="106"/>
      <c r="CS64" s="106"/>
      <c r="CT64" s="106"/>
      <c r="CU64" s="106"/>
      <c r="CV64" s="106"/>
      <c r="CW64" s="106"/>
      <c r="CX64" s="106"/>
      <c r="CY64" s="106"/>
      <c r="CZ64" s="106"/>
      <c r="DA64" s="106"/>
      <c r="DB64" s="106"/>
      <c r="DC64" s="106"/>
      <c r="DD64" s="106"/>
      <c r="DE64" s="106"/>
      <c r="DF64" s="106"/>
      <c r="DG64" s="106"/>
      <c r="DH64" s="106"/>
      <c r="DI64" s="106"/>
      <c r="DJ64" s="106"/>
      <c r="DK64" s="106"/>
      <c r="DL64" s="106"/>
      <c r="DM64" s="106"/>
      <c r="DN64" s="106"/>
      <c r="DO64" s="106"/>
      <c r="DP64" s="106"/>
      <c r="DQ64" s="106"/>
      <c r="DR64" s="106"/>
      <c r="DS64" s="106"/>
      <c r="DT64" s="106"/>
      <c r="DU64" s="106"/>
      <c r="DV64" s="106"/>
      <c r="DW64" s="106"/>
      <c r="DX64" s="106"/>
      <c r="DY64" s="106"/>
      <c r="DZ64" s="106"/>
      <c r="EA64" s="106"/>
      <c r="EB64" s="106"/>
      <c r="EC64" s="106"/>
      <c r="ED64" s="106"/>
      <c r="EE64" s="106"/>
      <c r="EF64" s="106"/>
      <c r="EG64" s="106"/>
    </row>
    <row r="65" spans="1:137" s="2" customFormat="1" ht="15" hidden="1" customHeight="1">
      <c r="A65" s="3"/>
      <c r="B65" s="3"/>
      <c r="C65" s="3"/>
      <c r="D65" s="3"/>
      <c r="E65" s="3"/>
      <c r="F65" s="3"/>
      <c r="G65" s="3"/>
      <c r="H65" s="3"/>
      <c r="I65" s="3"/>
      <c r="J65" s="3"/>
      <c r="K65" s="3"/>
      <c r="L65" s="3"/>
      <c r="M65" s="3"/>
      <c r="N65" s="3"/>
      <c r="O65" s="5"/>
      <c r="P65" s="2">
        <v>5</v>
      </c>
      <c r="Q65" s="13" t="str">
        <f>IF(AND(V5=2,R48=2),"Trevirke",IF(AND(V5=2,R48=3),"Himlingsplater",IF(AND(V5=3,R48=3),"Tregulv og parkett",IF(AND(V5=3,R48=2),"Tapet (vinyl-/våtromstapet og glassfiberstrie)","-"))))</f>
        <v>-</v>
      </c>
      <c r="R65" s="3" t="b">
        <f>IF(AND(V5=2,$R$48=3,$R$60=5),TRUE,FALSE)</f>
        <v>0</v>
      </c>
      <c r="S65" s="41" t="b">
        <f>IF(AND(V5=3,$R$48=3,$R$60=5),TRUE,FALSE)</f>
        <v>0</v>
      </c>
      <c r="T65" s="3" t="b">
        <f>IF(AND(V5=2,$R$48=2,$R$52=3,$R$60=5),TRUE,FALSE)</f>
        <v>0</v>
      </c>
      <c r="U65" s="3" t="b">
        <f>IF(AND(V5=2,$R$48=2,$R$52=2,$R$60=5),TRUE,FALSE)</f>
        <v>0</v>
      </c>
      <c r="V65" s="41" t="b">
        <f>IF(AND($V$5=3,$R$48=2,$R$52=2,$R$60=5),TRUE,FALSE)</f>
        <v>0</v>
      </c>
      <c r="W65" s="7" t="str">
        <f>IF(R65=TRUE,"himlingsplater",IF(S65=TRUE,"tregulv og parkett",IF(T65=TRUE,"trevirke",IF(U65=TRUE,"trevirke",IF(V65=TRUE,"tapeter","")))))</f>
        <v/>
      </c>
      <c r="X65" s="7" t="str">
        <f>IF($R$65=TRUE,"1.a",IF($S$65=TRUE,"D1.",IF(T65=TRUE,"1.",IF(U65=TRUE,"1.",IF($V$65=TRUE,"1.","")))))</f>
        <v/>
      </c>
      <c r="Y65" s="7" t="str">
        <f>IF($R$65=TRUE,"Produktet kan klassifiseres som E1 iht. testmetode EN 717-1:2004",IF($S$65=TRUE,"Grenseverdier for utslipp for alle produkter unntatt ubehandlet heltregulv:",IF($T$65=TRUE,"Kreosot ¹⁾",IF($U$65=TRUE,"Kreosot (PAH) ¹⁾",IF(V65=TRUE,"Arsen","")))))</f>
        <v/>
      </c>
      <c r="Z65" s="7" t="str">
        <f>IF($R$65=TRUE,"EN 13964:2004
EN 717-1:2004","")</f>
        <v/>
      </c>
      <c r="AA65" s="7"/>
      <c r="AB65" s="4" t="str">
        <f>IF($R$65=TRUE,"1.b",IF($V$65=TRUE,"2.",""))</f>
        <v/>
      </c>
      <c r="AC65" s="4" t="str">
        <f>IF(S65=TRUE,"TVOC: 200 μg/m²h (tilsvarer 160 μg/m³) etter 28 dager,",IF($R$65=TRUE,"Undertegnede kan bekrefte at produktet ikke er tilsatt noen materialer som inneholder formaldehyd under produksjon eller ved bearbeiding etter produksjonen. Disse kan klassifiseres som E1 uten prøving",IF(V65=TRUE,"Bly","")))</f>
        <v/>
      </c>
      <c r="AD65" s="4" t="str">
        <f>IF($R$65=TRUE,"NS-EN 13964:2004",IF($S$65=TRUE,"NS-EN 15251:2007 (tillegg C)",""))</f>
        <v/>
      </c>
      <c r="AE65" s="3" t="str">
        <f>IF($S$65=TRUE,"ISO 16000-9 med ISO 16000-6 og ISO 16000-3. Prøving og beregning i samsvar med EN 16516.","")</f>
        <v/>
      </c>
      <c r="AF65" s="4" t="str">
        <f>IF($R$65=TRUE,"2.",IF($V$65=TRUE,"3.",""))</f>
        <v/>
      </c>
      <c r="AG65" s="4" t="str">
        <f>IF(S65=TRUE,"FORMALDEHYD: 62 μg/m²h (tilsvarer 50 μg/m³) etter 3 dager eller 50 μg/m²h (tilsvarer 40 μg/m³) etter 28 dager,",IF($R$65=TRUE,"Produktet har en emisjonstest som viser at emisjoner av TVOC er under 0,2 mg/m²h ¹⁾  ²⁾",IF(V65=TRUE,"Bromerte flammehemmere (HBCD, TBBPA)","")))</f>
        <v/>
      </c>
      <c r="AH65" s="4" t="str">
        <f>IF($R$65=TRUE,"NS-EN 15251:2007 (tillegg C)",IF($S$65=TRUE,"NS-EN 15251:2007 (tillegg C)",""))</f>
        <v/>
      </c>
      <c r="AI65" s="4" t="str">
        <f>IF($S$65=TRUE,"ISO 16000-9 med ISO 16000-6 og ISO 16000-3. Prøving og beregning i samsvar med EN 16516.","")</f>
        <v/>
      </c>
      <c r="AJ65" s="4"/>
      <c r="AK65" s="4" t="str">
        <f>IF($R$65=TRUE,"3.",IF($V$65=TRUE,"4.",""))</f>
        <v/>
      </c>
      <c r="AL65" s="4" t="str">
        <f>IF(S65=TRUE,"KREFTFREMKALLENDE: 5 μg/m²h (tilsvarer 4 μg/m³) etter 28 dager.",IF($R$65=TRUE,"Produktet har ikke en emisjonstest som måler emisjoner av ammoniakk, men undertegnede kan bekrefte:
1)   at ammoniakk ikke er sporbart aktivt i produktet, OG
2)   at produktet ikke inneholder stoffer som kan avspaltes til ammoniakk",IF($V$65=TRUE,"Ftalater (DEHP)","")))</f>
        <v/>
      </c>
      <c r="AM65" s="4" t="str">
        <f>IF($R$65=TRUE,
"EN 717-1:2004
EN 13999-2:2007
EN 13999-3:2007
EN 13999-4:2007
EN 12149:1997",IF($S$65=TRUE,"NS-EN 15251:2007 (tillegg C)",""))</f>
        <v/>
      </c>
      <c r="AN65" s="4" t="str">
        <f>IF($S$65=TRUE,"ISO 16000-9 med ISO 16000-6 og ISO 16000-3. Prøving og beregning i samsvar med EN 16516.","")</f>
        <v/>
      </c>
      <c r="AO65" s="4" t="str">
        <f>IF($R$65=TRUE,"4.a",IF($S$65=TRUE,"D2.",IF($V$65=TRUE,"5.","")))</f>
        <v/>
      </c>
      <c r="AP65" s="4" t="str">
        <f>IF($S$65=TRUE,"Undertegnede bekrefter fravær av regulerte treimpregneringsmidler.",IF($R$65=TRUE,"Produktet har en emisjonstest som viser at emisjoner av ammoniakk er under 0,03 mg/m²h ¹⁾  ²⁾  ³⁾",IF(V65=TRUE,"Mellomkjedede klorerte parafiner","")))</f>
        <v/>
      </c>
      <c r="AQ65" s="4" t="str">
        <f>IF($R$65=TRUE,"NS-EN 15251:2007 (tillegg C)","")</f>
        <v/>
      </c>
      <c r="AR65" s="4"/>
      <c r="AS65" s="4" t="str">
        <f>IF($R$65=TRUE,"4.b","")</f>
        <v/>
      </c>
      <c r="AT65" s="4" t="str">
        <f>IF($R$65=TRUE,"Produktet har en emisjonstest som viser at misnøye med lukt er under 15 %. 
Gjelder kun hvis relevant for produktet ¹⁾","")</f>
        <v/>
      </c>
      <c r="AU65" s="4" t="str">
        <f>IF($R$65=TRUE,"NS-EN 15251:2007 (tillegg C)","")</f>
        <v/>
      </c>
      <c r="AV65" s="4"/>
      <c r="AW65" s="4" t="str">
        <f>IF($R$65=TRUE,"5.","")</f>
        <v/>
      </c>
      <c r="AX65" s="4" t="str">
        <f>IF($R$65=TRUE,"Produktet har en emisjonstest som viser at emisjoner av kreftfremkallende forbindelser (IARC) er under 0,005 mg/m²h ¹⁾  ²⁾","")</f>
        <v/>
      </c>
      <c r="AY65" s="4" t="str">
        <f>IF($R$65=TRUE,"NS-EN 15251:2007 (tillegg C)","")</f>
        <v/>
      </c>
      <c r="AZ65" s="4"/>
      <c r="BA65" s="4" t="str">
        <f>IF($R$65=TRUE,"6.","")</f>
        <v/>
      </c>
      <c r="BB65" s="4" t="str">
        <f>IF($R$65=TRUE,"Produktet har en emisjonstest som viser at emisjoner av formaldehyd er under 0,05 mg/m²h ¹⁾  ²⁾","")</f>
        <v/>
      </c>
      <c r="BC65" s="4" t="str">
        <f>IF($R$65=TRUE,"NS-EN 15251:2007 (tillegg C)","")</f>
        <v/>
      </c>
      <c r="BD65" s="4"/>
      <c r="BE65" s="4" t="str">
        <f>IF($R$65=TRUE,"7.","")</f>
        <v/>
      </c>
      <c r="BF65" s="4" t="str">
        <f>IF($R$65=TRUE,"Testene i punkt 2 – 6 er utført iht. ISO 16000-serien med målinger gjort etter 28 dager","")</f>
        <v/>
      </c>
      <c r="BG65" s="4" t="str">
        <f>IF($R$65=TRUE,"ISO 16000","")</f>
        <v/>
      </c>
      <c r="BH65" s="4"/>
      <c r="BI65" s="4" t="str">
        <f>IF($R$65=TRUE,"8.","")</f>
        <v/>
      </c>
      <c r="BJ65" s="4" t="str">
        <f>IF($R$65=TRUE,"Undertegnede kan bekrefte at produktet ikke inneholder asbest","")</f>
        <v/>
      </c>
      <c r="BK65" s="4" t="str">
        <f>IF($R$65=TRUE,"NS-EN 13964:2004","")</f>
        <v/>
      </c>
      <c r="BL65" s="4"/>
      <c r="BM65" s="4" t="str">
        <f>IF(R65=TRUE,"¹⁾ Under «Vanlig stilte spørsmål» på www.ngbc.no gis hjelp til å vurdere ulike kjente emisjonssertifikater opp mot kravene i NS-EN 15251.",IF(T65=TRUE,"¹⁾ Arsen og krom er forbudt",IF(U65=TRUE,"¹⁾ Arsen og krom er forbudt","")))</f>
        <v/>
      </c>
      <c r="BN65" s="4" t="str">
        <f>IF(R65=TRUE,"²⁾ Merk at emisjonene her er oppgitt i mg/m²h. De fleste emisjonssertifikater oppgir emisjoner i mg/m³. Det finnes en metode for å konvertere disse slik at man kan sammenligne resultater. Deres foretrukne laboratorium kan bistå dere med dette.","")</f>
        <v/>
      </c>
      <c r="BO65" s="4" t="str">
        <f>IF(R65=TRUE,"³⁾ Merk at M1 er den eneste kjente emisjonsmerkeordningen der ammoniakk inngår som en av de emisjonene som måles.","")</f>
        <v/>
      </c>
      <c r="BP65" s="3" t="b">
        <f t="shared" si="0"/>
        <v>0</v>
      </c>
      <c r="BQ65" s="3"/>
      <c r="BR65" s="3"/>
      <c r="BS65" s="3"/>
      <c r="BT65" s="3"/>
      <c r="BU65" s="106"/>
      <c r="BV65" s="106"/>
      <c r="BW65" s="106"/>
      <c r="BX65" s="106"/>
      <c r="BY65" s="106"/>
      <c r="BZ65" s="106"/>
      <c r="CA65" s="106"/>
      <c r="CB65" s="106"/>
      <c r="CC65" s="106"/>
      <c r="CD65" s="106"/>
      <c r="CE65" s="106"/>
      <c r="CF65" s="106"/>
      <c r="CG65" s="106"/>
      <c r="CH65" s="106"/>
      <c r="CI65" s="106"/>
      <c r="CJ65" s="106"/>
      <c r="CK65" s="106"/>
      <c r="CL65" s="106"/>
      <c r="CM65" s="106"/>
      <c r="CN65" s="106"/>
      <c r="CO65" s="106"/>
      <c r="CP65" s="106"/>
      <c r="CQ65" s="106"/>
      <c r="CR65" s="106"/>
      <c r="CS65" s="106"/>
      <c r="CT65" s="106"/>
      <c r="CU65" s="106"/>
      <c r="CV65" s="106"/>
      <c r="CW65" s="106"/>
      <c r="CX65" s="106"/>
      <c r="CY65" s="106"/>
      <c r="CZ65" s="106"/>
      <c r="DA65" s="106"/>
      <c r="DB65" s="106"/>
      <c r="DC65" s="106"/>
      <c r="DD65" s="106"/>
      <c r="DE65" s="106"/>
      <c r="DF65" s="106"/>
      <c r="DG65" s="106"/>
      <c r="DH65" s="106"/>
      <c r="DI65" s="106"/>
      <c r="DJ65" s="106"/>
      <c r="DK65" s="106"/>
      <c r="DL65" s="106"/>
      <c r="DM65" s="106"/>
      <c r="DN65" s="106"/>
      <c r="DO65" s="106"/>
      <c r="DP65" s="106"/>
      <c r="DQ65" s="106"/>
      <c r="DR65" s="106"/>
      <c r="DS65" s="106"/>
      <c r="DT65" s="106"/>
      <c r="DU65" s="106"/>
      <c r="DV65" s="106"/>
      <c r="DW65" s="106"/>
      <c r="DX65" s="106"/>
      <c r="DY65" s="106"/>
      <c r="DZ65" s="106"/>
      <c r="EA65" s="106"/>
      <c r="EB65" s="106"/>
      <c r="EC65" s="106"/>
      <c r="ED65" s="106"/>
      <c r="EE65" s="106"/>
      <c r="EF65" s="106"/>
      <c r="EG65" s="106"/>
    </row>
    <row r="66" spans="1:137" s="2" customFormat="1" ht="15" hidden="1" customHeight="1">
      <c r="A66" s="3"/>
      <c r="B66" s="3"/>
      <c r="C66" s="3"/>
      <c r="D66" s="8"/>
      <c r="E66" s="8"/>
      <c r="F66" s="8"/>
      <c r="G66" s="8"/>
      <c r="H66" s="8"/>
      <c r="I66" s="3"/>
      <c r="J66" s="3"/>
      <c r="K66" s="3"/>
      <c r="L66" s="3"/>
      <c r="M66" s="8"/>
      <c r="N66" s="3"/>
      <c r="O66" s="9"/>
      <c r="P66" s="2">
        <v>6</v>
      </c>
      <c r="Q66" s="13" t="str">
        <f>IF(AND(V5=2,R48=2),"Vinduer og ytterdører",IF(AND(V5=2,R48=3),"Trekonstruksjoner",IF(AND(V5=3,R48=3),"Slitesterke tekstil- og laminatgulvbelegg",IF(AND(V5=3,R48=2),"Tepper","-"))))</f>
        <v>-</v>
      </c>
      <c r="R66" s="3" t="b">
        <f>IF(AND(V5=2,$R$48=3,$R$60=6),TRUE,FALSE)</f>
        <v>0</v>
      </c>
      <c r="S66" s="41" t="b">
        <f>IF(AND(V5=3,$R$48=3,$R$60=6),TRUE,FALSE)</f>
        <v>0</v>
      </c>
      <c r="T66" s="3" t="b">
        <f>IF(AND(V5=2,$R$48=2,$R$52=3,$R$60=6),TRUE,FALSE)</f>
        <v>0</v>
      </c>
      <c r="U66" s="3" t="b">
        <f>IF(AND(V5=2,$R$48=2,$R$52=2,$R$60=6),TRUE,FALSE)</f>
        <v>0</v>
      </c>
      <c r="V66" s="41" t="b">
        <f>IF(AND($V$5=3,$R$48=2,$R$52=2,$R$60=6),TRUE,FALSE)</f>
        <v>0</v>
      </c>
      <c r="W66" s="7" t="str">
        <f>IF(R66=TRUE,"trekonstruksjoner",IF(S66=TRUE,"slitesterke tekstil- og laminatgulvbelegg",IF(T66=TRUE,"vinduer og ytterdører",IF(U66=TRUE,"vinduer og ytterdører",IF(V66=TRUE,"tepper","")))))</f>
        <v/>
      </c>
      <c r="X66" s="7" t="str">
        <f>IF($R$66=TRUE,"1.a",IF($S$66=TRUE,"E.",IF(T66=TRUE,"1.",IF(U66=TRUE,"1.",IF($V$66=TRUE,"1.","")))))</f>
        <v/>
      </c>
      <c r="Y66" s="7" t="str">
        <f>IF($R$66=TRUE,"Produktet kan klassifiseres som E1 iht. testmetode EN 717-1:2004",IF($S$66=TRUE,"Grenseverdier for utslipp:",IF($T$66=TRUE,"PFOS/PFOA ¹⁾",IF($U$66=TRUE,"PFOS/PFOA ¹⁾",IF(V66=TRUE,"PFOS/PFOA/PFCA ¹⁾","")))))</f>
        <v/>
      </c>
      <c r="Z66" s="7"/>
      <c r="AA66" s="7"/>
      <c r="AB66" s="4" t="str">
        <f>IF($R$66=TRUE,"1.b",IF(T66=TRUE,"2.",IF(U66=TRUE,"2.",IF($V$66=TRUE,"2.",""))))</f>
        <v/>
      </c>
      <c r="AC66" s="4" t="str">
        <f>IF(S66=TRUE,"TVOC: 200 μg/m²h (tilsvarer 160 μg/m³) etter 28 dager,",IF($R$66=TRUE,"Undertegnede kan bekrefte at produktet ikke er tilsatt noen materialer som inneholder formaldehyd under produksjon eller ved bearbeiding etter produksjonen. Disse kan klassifiseres som E1 uten prøving",IF(T66=TRUE,"Bromerte flammehemmere (HBCDD, TBBPA)",IF(U66=TRUE,"Bromerte flammehemmere (HBCDD, TBBPA)",IF($V$66=TRUE,"Bly","")))))</f>
        <v/>
      </c>
      <c r="AD66" s="4" t="str">
        <f>IF($R$66=TRUE,"EN 14080:2005
EN 717-1:2004",IF($S$66=TRUE,"NS-EN 15251:2007 (tillegg C)",IF($R$66=TRUE,"NS-EN 14080:2005","")))</f>
        <v/>
      </c>
      <c r="AE66" s="3" t="str">
        <f>IF($S$66=TRUE,"ISO 16000-9 med ISO 16000-6 og ISO 16000-3. Prøving og beregning i samsvar med EN 16516.","")</f>
        <v/>
      </c>
      <c r="AF66" s="4" t="str">
        <f>IF($R$66=TRUE,"2.",IF(T66=TRUE,"3.",IF(U66=TRUE,"3.",IF($V$66=TRUE,"3.",""))))</f>
        <v/>
      </c>
      <c r="AG66" s="4" t="str">
        <f>IF(S66=TRUE,"FORMALDEHYD: 62 μg/m²h (tilsvarer 50 μg/m³) etter 3 dager eller 50 μg/m²h (tilsvarer 40 μg/m³) etter 28 dager,",IF($R$66=TRUE,"Produktet har en emisjonstest som viser at emisjoner av TVOC er under 0,2 mg/m²h ¹⁾  ²⁾",IF($T$66=TRUE,"Ftalater (DEHP, DBP, BBP)",IF($U$66=TRUE,"Ftalater (DEHP)",IF($V$66=TRUE,"Bromerte flammehemmere (HBCD, TBBPA)","")))))</f>
        <v/>
      </c>
      <c r="AH66" s="4" t="str">
        <f>IF($R$66=TRUE,"EN 14080:2005
EN 717-1:2004",IF($S$66=TRUE,"NS-EN 15251:2007 (tillegg C)",IF($R$66=TRUE,"NS-EN 15251:2007 (tillegg C)","")))</f>
        <v/>
      </c>
      <c r="AI66" s="4" t="str">
        <f>IF($S$66=TRUE,"ISO 16000-9 med ISO 16000-6 og ISO 16000-3. Prøving og beregning i samsvar med EN 16516.","")</f>
        <v/>
      </c>
      <c r="AJ66" s="4"/>
      <c r="AK66" s="4" t="str">
        <f>IF($R$66=TRUE,"3.",IF(T66=TRUE,"4.",IF(U66=TRUE,"4.",IF($V$66=TRUE,"4.",""))))</f>
        <v/>
      </c>
      <c r="AL66" s="4" t="str">
        <f>IF(S66=TRUE,"KREFTFREMKALLENDE: 5 μg/m²h (tilsvarer 4 μg/m³) etter 28 dager.",IF($R$66=TRUE,"Produktet har ikke en emisjonstest som måler emisjoner av ammoniakk, men undertegnede kan bekrefte:
1)   at ammoniakk ikke er sporbart aktivt i produktet, OG
2)   at produktet ikke inneholder stoffer som kan avspaltes til ammoniakk",IF(T66=TRUE,"Klorparafiner",IF(U66=TRUE,"Klorparafiner",IF($U$69=TRUE,"Krom",IF($V$66=TRUE,"Klorerte parafiner",""))))))</f>
        <v/>
      </c>
      <c r="AM66" s="4" t="str">
        <f>IF($R$66=TRUE,"EN 14080:2005
EN 717-1:2004",IF($S$66=TRUE,"NS-EN 15251:2007 (tillegg C)",IF($R$66=TRUE,"NS-EN 15251:2007 (tillegg C)",IF($R$66=TRUE,
"EN 717-1:2004
EN 13999-2:2007
EN 13999-3:2007
EN 13999-4:2007
EN 12149:1997",""))))</f>
        <v/>
      </c>
      <c r="AN66" s="4" t="str">
        <f>IF($S$66=TRUE,"ISO 16000-9 med ISO 16000-6 og ISO 16000-3. Prøving og beregning i samsvar med EN 16516.","")</f>
        <v/>
      </c>
      <c r="AO66" s="4" t="str">
        <f>IF($R$66=TRUE,"4.a",IF(T66=TRUE,"5.",IF(U66=TRUE,"5.",IF($V$66=TRUE,"5.",""))))</f>
        <v/>
      </c>
      <c r="AP66" s="4" t="str">
        <f>IF($R$66=TRUE,"Produktet har en emisjonstest som viser at emisjoner av ammoniakk er under 0,03 mg/m²h ¹⁾  ²⁾  ³⁾",IF(T66=TRUE,"Oktyl-/nonylfenoler",IF(U66=TRUE,"Oktyl-/nonylfenoler",IF($V$66=TRUE,"Krom",""))))</f>
        <v/>
      </c>
      <c r="AQ66" s="4" t="str">
        <f>IF($R$66=TRUE,"NS-EN 15251:2007 (tillegg C)","")</f>
        <v/>
      </c>
      <c r="AR66" s="4"/>
      <c r="AS66" s="4" t="str">
        <f>IF($R$66=TRUE,"4.b",IF(T66=TRUE,"6.",IF(U66=TRUE,"6.",IF($V$66=TRUE,"6.",""))))</f>
        <v/>
      </c>
      <c r="AT66" s="4" t="str">
        <f>IF($R$66=TRUE,"Produktet har en emisjonstest som viser at misnøye med lukt er under 15 %. 
Gjelder kun hvis relevant for produktet ¹⁾",IF(T66=TRUE,"Bisfenol A ²⁾",IF(U66=TRUE,"Bisfenol A",IF($V$66=TRUE,"Oktyl-/nonylfenoler",""))))</f>
        <v/>
      </c>
      <c r="AU66" s="4" t="str">
        <f>IF($R$66=TRUE,"NS-EN 15251:2007 (tillegg C)","")</f>
        <v/>
      </c>
      <c r="AV66" s="4"/>
      <c r="AW66" s="4" t="str">
        <f>IF($R$66=TRUE,"5.","")</f>
        <v/>
      </c>
      <c r="AX66" s="4" t="str">
        <f>IF($R$66=TRUE,"Produktet har en emisjonstest som viser at emisjoner av kreftfremkallende forbindelser (IARC) er under 0,005 mg/m²h ¹⁾  ²⁾","")</f>
        <v/>
      </c>
      <c r="AY66" s="4" t="str">
        <f>IF($R$66=TRUE,"NS-EN 15251:2007 (tillegg C)","")</f>
        <v/>
      </c>
      <c r="AZ66" s="4"/>
      <c r="BA66" s="4" t="str">
        <f>IF($R$66=TRUE,"6.","")</f>
        <v/>
      </c>
      <c r="BB66" s="4" t="str">
        <f>IF($R$66=TRUE,"Produktet har en emisjonstest som viser at emisjoner av formaldehyd er under 0,05 mg/m²h ¹⁾  ²⁾","")</f>
        <v/>
      </c>
      <c r="BC66" s="4" t="str">
        <f>IF($R$66=TRUE,"NS-EN 15251:2007 (tillegg C)","")</f>
        <v/>
      </c>
      <c r="BD66" s="4"/>
      <c r="BE66" s="4" t="str">
        <f>IF($R$66=TRUE,"7.","")</f>
        <v/>
      </c>
      <c r="BF66" s="4" t="str">
        <f>IF($R$66=TRUE,"Testene i punkt 2 – 6 er utført iht. ISO 16000-serien med målinger gjort etter 28 dager","")</f>
        <v/>
      </c>
      <c r="BG66" s="4" t="str">
        <f>IF($R$66=TRUE,"ISO 16000","")</f>
        <v/>
      </c>
      <c r="BH66" s="4"/>
      <c r="BI66" s="4"/>
      <c r="BJ66" s="4"/>
      <c r="BK66" s="4"/>
      <c r="BL66" s="4"/>
      <c r="BM66" s="4" t="str">
        <f>IF(R66=TRUE,"¹⁾ Under «Vanlig stilte spørsmål» på www.ngbc.no gis hjelp til å vurdere ulike kjente emisjonssertifikater opp mot kravene i NS-EN 15251.","")</f>
        <v/>
      </c>
      <c r="BN66" s="4" t="str">
        <f>IF(R66=TRUE,"²⁾ Merk at emisjonene her er oppgitt i mg/m²h. De fleste emisjonssertifikater oppgir emisjoner i mg/m³. Det finnes en metode for å konvertere disse slik at man kan sammenligne resultater. Deres foretrukne laboratorium kan bistå dere med dette.","")</f>
        <v/>
      </c>
      <c r="BO66" s="4" t="str">
        <f>IF(R66=TRUE,"³⁾ Merk at M1 er den eneste kjente emisjonsmerkeordningen der ammoniakk inngår som en av de emisjonene som måles.",IF(T66=TRUE,"²⁾ All polykarbonat inneholder bisfenol A",""))</f>
        <v/>
      </c>
      <c r="BP66" s="3" t="b">
        <f t="shared" si="0"/>
        <v>0</v>
      </c>
      <c r="BQ66" s="3"/>
      <c r="BR66" s="3"/>
      <c r="BS66" s="3"/>
      <c r="BT66" s="3"/>
      <c r="BU66" s="106"/>
      <c r="BV66" s="106"/>
      <c r="BW66" s="106"/>
      <c r="BX66" s="106"/>
      <c r="BY66" s="106"/>
      <c r="BZ66" s="106"/>
      <c r="CA66" s="106"/>
      <c r="CB66" s="106"/>
      <c r="CC66" s="106"/>
      <c r="CD66" s="106"/>
      <c r="CE66" s="106"/>
      <c r="CF66" s="106"/>
      <c r="CG66" s="106"/>
      <c r="CH66" s="106"/>
      <c r="CI66" s="106"/>
      <c r="CJ66" s="106"/>
      <c r="CK66" s="106"/>
      <c r="CL66" s="106"/>
      <c r="CM66" s="106"/>
      <c r="CN66" s="106"/>
      <c r="CO66" s="106"/>
      <c r="CP66" s="106"/>
      <c r="CQ66" s="106"/>
      <c r="CR66" s="106"/>
      <c r="CS66" s="106"/>
      <c r="CT66" s="106"/>
      <c r="CU66" s="106"/>
      <c r="CV66" s="106"/>
      <c r="CW66" s="106"/>
      <c r="CX66" s="106"/>
      <c r="CY66" s="106"/>
      <c r="CZ66" s="106"/>
      <c r="DA66" s="106"/>
      <c r="DB66" s="106"/>
      <c r="DC66" s="106"/>
      <c r="DD66" s="106"/>
      <c r="DE66" s="106"/>
      <c r="DF66" s="106"/>
      <c r="DG66" s="106"/>
      <c r="DH66" s="106"/>
      <c r="DI66" s="106"/>
      <c r="DJ66" s="106"/>
      <c r="DK66" s="106"/>
      <c r="DL66" s="106"/>
      <c r="DM66" s="106"/>
      <c r="DN66" s="106"/>
      <c r="DO66" s="106"/>
      <c r="DP66" s="106"/>
      <c r="DQ66" s="106"/>
      <c r="DR66" s="106"/>
      <c r="DS66" s="106"/>
      <c r="DT66" s="106"/>
      <c r="DU66" s="106"/>
      <c r="DV66" s="106"/>
      <c r="DW66" s="106"/>
      <c r="DX66" s="106"/>
      <c r="DY66" s="106"/>
      <c r="DZ66" s="106"/>
      <c r="EA66" s="106"/>
      <c r="EB66" s="106"/>
      <c r="EC66" s="106"/>
      <c r="ED66" s="106"/>
      <c r="EE66" s="106"/>
      <c r="EF66" s="106"/>
      <c r="EG66" s="106"/>
    </row>
    <row r="67" spans="1:137" s="2" customFormat="1" ht="15" hidden="1" customHeight="1">
      <c r="A67" s="3"/>
      <c r="B67" s="3"/>
      <c r="C67" s="3"/>
      <c r="D67" s="8"/>
      <c r="E67" s="8"/>
      <c r="F67" s="8"/>
      <c r="G67" s="8"/>
      <c r="H67" s="8"/>
      <c r="I67" s="3"/>
      <c r="J67" s="3"/>
      <c r="K67" s="8"/>
      <c r="L67" s="3"/>
      <c r="M67" s="3"/>
      <c r="N67" s="9"/>
      <c r="O67" s="9"/>
      <c r="P67" s="2">
        <v>7</v>
      </c>
      <c r="Q67" s="13" t="str">
        <f>IF(AND(V5=2,R48=2),"Vinyl gulvbelegg",IF(AND(V5=2,R48=3),"Maling og lakk",IF(AND(V5=3,R48=3),"Nedsenkede himlingsplater",IF(AND(V5=3,R48=2),"Trevirke behandlet med konserveringsmiddel","-"))))</f>
        <v>-</v>
      </c>
      <c r="R67" s="3" t="b">
        <f>IF(AND(V5=2,$R$48=3,$R$60=7),TRUE,FALSE)</f>
        <v>0</v>
      </c>
      <c r="S67" s="41" t="b">
        <f>IF(AND(V5=3,$R$48=3,$R$60=7),TRUE,FALSE)</f>
        <v>0</v>
      </c>
      <c r="T67" s="3" t="b">
        <f>IF(AND(V5=2,$R$48=2,$R$52=3,$R$60=7),TRUE,FALSE)</f>
        <v>0</v>
      </c>
      <c r="U67" s="3" t="b">
        <f>IF(AND(V5=2,$R$48=2,$R$52=2,$R$60=7),TRUE,FALSE)</f>
        <v>0</v>
      </c>
      <c r="V67" s="41" t="b">
        <f>IF(AND($V$5=3,$R$48=2,$R$52=2,$R$60=7),TRUE,FALSE)</f>
        <v>0</v>
      </c>
      <c r="W67" s="7" t="str">
        <f>IF(R67=TRUE,"maling og lakk",IF(S67=TRUE,"nedsenkede himlingsplater",IF(T67=TRUE,"vinyl gulvbelegg",IF(U67=TRUE,"vinyl gulvbelegg",IF(V67=TRUE,"trevirke behandlet med konserveringsmiddel","")))))</f>
        <v/>
      </c>
      <c r="X67" s="7" t="str">
        <f>IF($R$67=TRUE,"1.",IF($S$67=TRUE,"F.",IF(T67=TRUE,"1.",IF(U67=TRUE,"1.",IF($V$67=TRUE,"1.","")))))</f>
        <v/>
      </c>
      <c r="Y67" s="7" t="str">
        <f>IF($S$67=TRUE,"Grenseverdier for utslipp:",IF($R$67=TRUE,"Emisjonstestene av maling er utført iht. ISO 16000-9 eller ISO 16000-10, og emisjonene som er oppgitt er fra målinger gjort etter 3 døgn",IF(T67=TRUE,"Bly",IF(U67=TRUE,"Bly",IF($V$67=TRUE,"Kreosot","")))))</f>
        <v/>
      </c>
      <c r="Z67" s="7"/>
      <c r="AA67" s="7"/>
      <c r="AB67" s="4" t="str">
        <f>IF($R$67=TRUE,"2.",IF($T$67=TRUE,"2.",IF(U67=TRUE,"2.",IF($V$67=TRUE,"2.",""))))</f>
        <v/>
      </c>
      <c r="AC67" s="4" t="str">
        <f>IF(S67=TRUE,"TVOC: 200 μg/m²h (tilsvarer 160 μg/m³) etter 28 dager,",IF($R$67=TRUE,"Malingen/lakken tilfredsstiller VOC-direktivet: Directive 2004/42/CE",IF(T67=TRUE,"Bromerte flammehemmere (HBCD, TBBPA)",IF(U67=TRUE,"Bromerte flammehemmere (HBCD, TBBPA)",IF($V$67=TRUE,"Arsen","")))))</f>
        <v/>
      </c>
      <c r="AD67" s="4" t="str">
        <f>IF($S$67=TRUE,"NS-EN 15251:2007 (tillegg C)","")</f>
        <v/>
      </c>
      <c r="AE67" s="3" t="str">
        <f>IF($S$67=TRUE,"ISO 16000-9 med ISO 16000-6 og 
ISO 16000-3. 
Prøving og beregning i samsvar med EN 16516.","")</f>
        <v/>
      </c>
      <c r="AF67" s="4" t="str">
        <f>IF(T67=TRUE,"3.",IF(U67=TRUE,"3.",IF($V$67=TRUE,"3.","")))</f>
        <v/>
      </c>
      <c r="AG67" s="4" t="str">
        <f>IF(S67=TRUE,"FORMALDEHYD: 62 μg/m²h (tilsvarer 50 μg/m³) etter 3 dager eller 50 μg/m²h (tilsvarer 40 μg/m³) etter 28 dager,",IF($T$67=TRUE,"Ftalater (DEHP, DBP, BBP)",IF($U$67=TRUE,"Ftalater (DEHP)",IF($V$67=TRUE,"Krom",""))))</f>
        <v/>
      </c>
      <c r="AH67" s="4" t="str">
        <f>IF($S$67=TRUE,"NS-EN 15251:2007 (tillegg C)","")</f>
        <v/>
      </c>
      <c r="AI67" s="4" t="str">
        <f>IF($S$67=TRUE,"ISO 16000-9 med ISO 16000-6 og 
ISO 16000-3. 
Prøving og beregning i samsvar med EN 16516.","")</f>
        <v/>
      </c>
      <c r="AJ67" s="4"/>
      <c r="AK67" s="4" t="str">
        <f>IF(T67=TRUE,"4.",IF(U67=TRUE,"4.",""))</f>
        <v/>
      </c>
      <c r="AL67" s="4" t="str">
        <f>IF(S67=TRUE,"KREFTFREMKALLENDE: 5 μg/m²h (tilsvarer 4 μg/m³).",IF(T67=TRUE,"Bisfenol A ¹⁾",IF(U67=TRUE,"Bisfenol A","")))</f>
        <v/>
      </c>
      <c r="AM67" s="4" t="str">
        <f>IF($S$67=TRUE,"NS-EN 15251:2007 (tillegg C)","")</f>
        <v/>
      </c>
      <c r="AN67" s="4" t="str">
        <f>IF($S$67=TRUE,"ISO 16000-9 med ISO 16000-6 og 
ISO 16000-3. 
Prøving og beregning i samsvar med EN 16516.","")</f>
        <v/>
      </c>
      <c r="AO67" s="4" t="str">
        <f>IF($T$67=TRUE,"5.",IF(U67=TRUE,"5.",""))</f>
        <v/>
      </c>
      <c r="AP67" s="4" t="str">
        <f>IF(T67=TRUE,"Mellomkjedede klorparafiner ²⁾",IF(U67=TRUE,"Mellomkjedede klorparafiner ¹⁾",""))</f>
        <v/>
      </c>
      <c r="AQ67" s="4"/>
      <c r="AR67" s="4"/>
      <c r="AS67" s="4" t="str">
        <f>IF($T$67=TRUE,"6.","")</f>
        <v/>
      </c>
      <c r="AT67" s="4" t="str">
        <f>IF($T$67=TRUE,"Tris(2-kloretyl)fosfat (TCEP)","")</f>
        <v/>
      </c>
      <c r="AU67" s="4"/>
      <c r="AV67" s="4"/>
      <c r="AW67" s="4"/>
      <c r="AX67" s="4"/>
      <c r="AY67" s="4"/>
      <c r="AZ67" s="4"/>
      <c r="BA67" s="4"/>
      <c r="BB67" s="4"/>
      <c r="BC67" s="4"/>
      <c r="BD67" s="4"/>
      <c r="BE67" s="4"/>
      <c r="BF67" s="4"/>
      <c r="BG67" s="4"/>
      <c r="BH67" s="4"/>
      <c r="BI67" s="4"/>
      <c r="BJ67" s="4"/>
      <c r="BK67" s="4"/>
      <c r="BL67" s="4"/>
      <c r="BM67" s="4" t="str">
        <f>IF(T67=TRUE,"¹⁾ All polykarbonat inneholder bisfenol A",IF(U67=TRUE,"¹⁾ Kortkjedede parafiner er forbudt",""))</f>
        <v/>
      </c>
      <c r="BN67" s="4" t="str">
        <f>IF(T67=TRUE,"²⁾ Kortkjedede parafiner er forbudt","")</f>
        <v/>
      </c>
      <c r="BO67" s="4"/>
      <c r="BP67" s="3" t="b">
        <f t="shared" si="0"/>
        <v>0</v>
      </c>
      <c r="BQ67" s="3"/>
      <c r="BR67" s="3"/>
      <c r="BS67" s="3"/>
      <c r="BT67" s="3"/>
      <c r="BU67" s="106"/>
      <c r="BV67" s="106"/>
      <c r="BW67" s="106"/>
      <c r="BX67" s="106"/>
      <c r="BY67" s="106"/>
      <c r="BZ67" s="106"/>
      <c r="CA67" s="106"/>
      <c r="CB67" s="106"/>
      <c r="CC67" s="106"/>
      <c r="CD67" s="106"/>
      <c r="CE67" s="106"/>
      <c r="CF67" s="106"/>
      <c r="CG67" s="106"/>
      <c r="CH67" s="106"/>
      <c r="CI67" s="106"/>
      <c r="CJ67" s="106"/>
      <c r="CK67" s="106"/>
      <c r="CL67" s="106"/>
      <c r="CM67" s="106"/>
      <c r="CN67" s="106"/>
      <c r="CO67" s="106"/>
      <c r="CP67" s="106"/>
      <c r="CQ67" s="106"/>
      <c r="CR67" s="106"/>
      <c r="CS67" s="106"/>
      <c r="CT67" s="106"/>
      <c r="CU67" s="106"/>
      <c r="CV67" s="106"/>
      <c r="CW67" s="106"/>
      <c r="CX67" s="106"/>
      <c r="CY67" s="106"/>
      <c r="CZ67" s="106"/>
      <c r="DA67" s="106"/>
      <c r="DB67" s="106"/>
      <c r="DC67" s="106"/>
      <c r="DD67" s="106"/>
      <c r="DE67" s="106"/>
      <c r="DF67" s="106"/>
      <c r="DG67" s="106"/>
      <c r="DH67" s="106"/>
      <c r="DI67" s="106"/>
      <c r="DJ67" s="106"/>
      <c r="DK67" s="106"/>
      <c r="DL67" s="106"/>
      <c r="DM67" s="106"/>
      <c r="DN67" s="106"/>
      <c r="DO67" s="106"/>
      <c r="DP67" s="106"/>
      <c r="DQ67" s="106"/>
      <c r="DR67" s="106"/>
      <c r="DS67" s="106"/>
      <c r="DT67" s="106"/>
      <c r="DU67" s="106"/>
      <c r="DV67" s="106"/>
      <c r="DW67" s="106"/>
      <c r="DX67" s="106"/>
      <c r="DY67" s="106"/>
      <c r="DZ67" s="106"/>
      <c r="EA67" s="106"/>
      <c r="EB67" s="106"/>
      <c r="EC67" s="106"/>
      <c r="ED67" s="106"/>
      <c r="EE67" s="106"/>
      <c r="EF67" s="106"/>
      <c r="EG67" s="106"/>
    </row>
    <row r="68" spans="1:137" s="2" customFormat="1" ht="15" hidden="1" customHeight="1">
      <c r="A68" s="3"/>
      <c r="B68" s="3"/>
      <c r="C68" s="3"/>
      <c r="D68" s="8"/>
      <c r="E68" s="8"/>
      <c r="F68" s="8"/>
      <c r="G68" s="8"/>
      <c r="H68" s="8"/>
      <c r="I68" s="3"/>
      <c r="J68" s="3"/>
      <c r="K68" s="3"/>
      <c r="L68" s="3"/>
      <c r="M68" s="3"/>
      <c r="N68" s="9"/>
      <c r="O68" s="9"/>
      <c r="P68" s="2">
        <v>8</v>
      </c>
      <c r="Q68" s="13" t="str">
        <f>IF(AND(V5=2,R48=2),"XPS, EPS og cellegummi",IF(AND(V5=2,R48=3),"Tregulv og parkett",IF(AND(V5=3,R48=3),"Gulvlim",IF(AND(V5=3,R48=2),"Vinduer og ytterdører","-"))))</f>
        <v>-</v>
      </c>
      <c r="R68" s="3" t="b">
        <f>IF(AND(V5=2,$R$48=3,$R$60=8),TRUE,FALSE)</f>
        <v>0</v>
      </c>
      <c r="S68" s="41" t="b">
        <f>IF(AND(V5=3,$R$48=3,$R$60=8),TRUE,FALSE)</f>
        <v>0</v>
      </c>
      <c r="T68" s="3" t="b">
        <f>IF(AND(V5=2,$R$48=2,$R$52=3,$R$60=8),TRUE,FALSE)</f>
        <v>0</v>
      </c>
      <c r="U68" s="3" t="b">
        <f>IF(AND(V5=2,$R$48=2,$R$52=2,$R$60=8),TRUE,FALSE)</f>
        <v>0</v>
      </c>
      <c r="V68" s="41" t="b">
        <f>IF(AND($V$5=3,$R$48=2,$R$52=2,$R$60=8),TRUE,FALSE)</f>
        <v>0</v>
      </c>
      <c r="W68" s="7" t="str">
        <f>IF(R68=TRUE,"tregulv og parkett",IF(S68=TRUE,"gulvlim",IF(T68=TRUE,"XPS, EPS og cellegummi",IF(U68=TRUE,"XPS, EPS og cellegummi",IF(V68=TRUE,"vinduer og ytterdører","")))))</f>
        <v/>
      </c>
      <c r="X68" s="7" t="str">
        <f>IF($R$68=TRUE,"1.a",IF($S$68=TRUE,"G.",IF(T68=TRUE,"1.",IF(U68=TRUE,"1.",IF(V68=TRUE,"1.","")))))</f>
        <v/>
      </c>
      <c r="Y68" s="7" t="str">
        <f>IF($R$68=TRUE,"Produktet kan klassifiseres som E1 iht. testmetode EN 717-1:2004",IF($S$68=TRUE,"Grenseverdier for utslipp:",IF(T68=TRUE,"Bromerte flammehemmere HBCDD, TBBPA ¹⁾",IF(U68=TRUE,"Flammehemmere HBCDD, TBBPA ¹⁾",IF($V$68=TRUE,"PFOS/PFOA ¹⁾","")))))</f>
        <v/>
      </c>
      <c r="Z68" s="7"/>
      <c r="AA68" s="7"/>
      <c r="AB68" s="4" t="str">
        <f>IF($R$68=TRUE,"1.b",IF(V68=TRUE,"2.",""))</f>
        <v/>
      </c>
      <c r="AC68" s="4" t="str">
        <f>IF(S68=TRUE,"TVOC: 200 μg/m²h (tilsvarer 160 μg/m³) etter 28 dager,",IF($R$68=TRUE,"Undertegnede kan bekrefte at produktet ikke er tilsatt noen materialer som inneholder formaldehyd under produksjon eller ved bearbeiding etter produksjonen. Disse kan klassifiseres som E1 uten prøving",IF(V68=TRUE,"Bromerte flammehemmere (HBCD, TBBPA)","")))</f>
        <v/>
      </c>
      <c r="AD68" s="4" t="str">
        <f>IF($R$68=TRUE,"EN 14342:2005
EN 717-1:2004",IF(S68=TRUE,"ISO 16000-9 med ISO 16000-6 og 
ISO 16000-3.",""))</f>
        <v/>
      </c>
      <c r="AE68" s="3" t="str">
        <f>IF($S$68=TRUE,"Prøving og beregning skal skje i samsvar med EN 16516.","")</f>
        <v/>
      </c>
      <c r="AF68" s="4" t="str">
        <f>IF($R$68=TRUE,"2.",IF(V68=TRUE,"3.",""))</f>
        <v/>
      </c>
      <c r="AG68" s="4" t="str">
        <f>IF(S68=TRUE,"FORMALDEHYD: 62 μg/m²h (tilsvarer 50 μg/m³) etter 3 dager eller 50 μg/m²h (tilsvarer 40 μg/m³) etter 28 dager,",IF($R$68=TRUE,"Produktet har en emisjonstest som viser at emisjoner av TVOC er under 0,2 mg/m²h ¹⁾  ²⁾",IF($V$68=TRUE,"Ftalater (DEHP)","")))</f>
        <v/>
      </c>
      <c r="AH68" s="4" t="str">
        <f>IF($R$68=TRUE,"EN 14342:2005
EN 717-1:2004",IF(S68=TRUE,"ISO 16000-9 med ISO 16000-6 og 
ISO 16000-3.",IF($R$68=TRUE,"NS-EN 15251:2007 (tillegg C)","")))</f>
        <v/>
      </c>
      <c r="AI68" s="4" t="str">
        <f>IF($S$68=TRUE,"Prøving og beregning skal skje i samsvar med EN 16516.","")</f>
        <v/>
      </c>
      <c r="AJ68" s="4"/>
      <c r="AK68" s="4" t="str">
        <f>IF($R$68=TRUE,"3.",IF(V68=TRUE,"4.",""))</f>
        <v/>
      </c>
      <c r="AL68" s="4" t="str">
        <f>IF(S68=TRUE,"KREFTFREMKALLENDE: 5 μg/m²h (tilsvarer 4 μg/m³).",IF($R$68=TRUE,"Produktet har ikke en emisjonstest som måler emisjoner av ammoniakk, men undertegnede kan bekrefte:
1)   at ammoniakk ikke er sporbart aktivt i produktet, OG 
2)   at produktet ikke inneholder stoffer som kan avspaltes til ammoniakk",IF(V68=TRUE,"Klorerte parafiner","")))</f>
        <v/>
      </c>
      <c r="AM68" s="4" t="str">
        <f>IF($R$68=TRUE,"EN 14342:2005
EN 717-1:2004",IF(S68=TRUE,"ISO 16000-9 med ISO 16000-6 og 
ISO 16000-3.",IF($R$68=TRUE,
"EN 717-1:2004
EN 13999-2:2007
EN 13999-3:2007
EN 13999-4:2007
EN 12149:1997","")))</f>
        <v/>
      </c>
      <c r="AN68" s="4" t="str">
        <f>IF($S$68=TRUE,"Prøving og beregning skal skje i samsvar med EN 16516.","")</f>
        <v/>
      </c>
      <c r="AO68" s="4" t="str">
        <f>IF($R$68=TRUE,"4.a",IF(V68=TRUE,"5.",""))</f>
        <v/>
      </c>
      <c r="AP68" s="4" t="str">
        <f>IF($R$68=TRUE,"Produktet har en emisjonstest som viser at emisjoner av ammoniakk er under 0,03 mg/m²h ¹⁾  ²⁾  ³⁾",IF(V68=TRUE,"Oktyl-/nonylfenol",""))</f>
        <v/>
      </c>
      <c r="AQ68" s="4" t="str">
        <f>IF($R$68=TRUE,"NS-EN 15251:2007 (tillegg C)","")</f>
        <v/>
      </c>
      <c r="AR68" s="4"/>
      <c r="AS68" s="4" t="str">
        <f>IF($R$68=TRUE,"4.b",IF(V68=TRUE,"6.",""))</f>
        <v/>
      </c>
      <c r="AT68" s="4" t="str">
        <f>IF($R$68=TRUE,"Produktet har en emisjonstest som viser at misnøye med lukt er under 15 %. 
Gjelder kun hvis relevant for produktet ¹⁾",IF(V68=TRUE,"Bisfenol A",""))</f>
        <v/>
      </c>
      <c r="AU68" s="4" t="str">
        <f>IF($R$68=TRUE,"NS-EN 15251:2007 (tillegg C)","")</f>
        <v/>
      </c>
      <c r="AV68" s="4"/>
      <c r="AW68" s="4" t="str">
        <f>IF($R$68=TRUE,"5.",IF(V68=TRUE,"7.",""))</f>
        <v/>
      </c>
      <c r="AX68" s="4" t="str">
        <f>IF($R$68=TRUE,"Produktet har en emisjonstest som viser at emisjoner av kreftfremkallende forbindelser (IARC) er under 0,005 mg/m²h ¹⁾  ²⁾",IF($V$68=TRUE,"Bly",""))</f>
        <v/>
      </c>
      <c r="AY68" s="4" t="str">
        <f>IF($R$68=TRUE,"NS-EN 15251:2007 (tillegg C)","")</f>
        <v/>
      </c>
      <c r="AZ68" s="4"/>
      <c r="BA68" s="4" t="str">
        <f>IF($R$68=TRUE,"6.","")</f>
        <v/>
      </c>
      <c r="BB68" s="4" t="str">
        <f>IF($R$68=TRUE,"Produktet har en emisjonstest som viser at emisjoner av formaldehyd er under 0,05 mg/m²h ¹⁾  ²⁾","")</f>
        <v/>
      </c>
      <c r="BC68" s="4" t="str">
        <f>IF($R$68=TRUE,"NS-EN 15251:2007 (tillegg C)","")</f>
        <v/>
      </c>
      <c r="BD68" s="4"/>
      <c r="BE68" s="4" t="str">
        <f>IF($R$68=TRUE,"7.","")</f>
        <v/>
      </c>
      <c r="BF68" s="4" t="str">
        <f>IF($R$68=TRUE,"Testene i punkt 2 – 6 er utført iht. ISO 16000-serien med målinger gjort etter 28 dager","")</f>
        <v/>
      </c>
      <c r="BG68" s="4" t="str">
        <f>IF($R$68=TRUE,"ISO 16000","")</f>
        <v/>
      </c>
      <c r="BH68" s="4"/>
      <c r="BI68" s="4" t="str">
        <f>IF($R$68=TRUE,"8.","")</f>
        <v/>
      </c>
      <c r="BJ68" s="4" t="str">
        <f>IF($R$68=TRUE,"Undertegnede kan bekrefte fravær av regulerte treimpregneringsmidler og at minimumsnivå er overholdt","")</f>
        <v/>
      </c>
      <c r="BK68" s="4" t="str">
        <f>IF($R$68=TRUE,"NS-EN 14342:2005","")</f>
        <v/>
      </c>
      <c r="BL68" s="4"/>
      <c r="BM68" s="4" t="str">
        <f>IF(R68=TRUE,"¹⁾ Under «Vanlig stilte spørsmål» på www.ngbc.no gis hjelp til å vurdere ulike kjente emisjonssertifikater opp mot kravene i NS-EN 15251.",IF(T68=TRUE,"¹⁾ Flammehemmerne penta-, okta- og deka-BDE er forbudt",IF(U68=TRUE,"¹⁾ Flammehemmerne penta-, okta- og deka-BDE er forbudt","")))</f>
        <v/>
      </c>
      <c r="BN68" s="4" t="str">
        <f>IF(R68=TRUE,"²⁾ Merk at emisjonene her er oppgitt i mg/m²h. De fleste emisjonssertifikater oppgir emisjoner i mg/m³. Det finnes en metode for å konvertere disse slik at man kan sammenligne resultater. Deres foretrukne laboratorium kan bistå dere med dette.","")</f>
        <v/>
      </c>
      <c r="BO68" s="4" t="str">
        <f>IF(R68=TRUE,"³⁾ Merk at M1 er den eneste kjente emisjonsmerkeordningen der ammoniakk inngår som en av de emisjonene som måles.","")</f>
        <v/>
      </c>
      <c r="BP68" s="3" t="b">
        <f t="shared" si="0"/>
        <v>0</v>
      </c>
      <c r="BQ68" s="3"/>
      <c r="BR68" s="3"/>
      <c r="BS68" s="3"/>
      <c r="BT68" s="3"/>
      <c r="BU68" s="106"/>
      <c r="BV68" s="106"/>
      <c r="BW68" s="106"/>
      <c r="BX68" s="106"/>
      <c r="BY68" s="106"/>
      <c r="BZ68" s="106"/>
      <c r="CA68" s="106"/>
      <c r="CB68" s="106"/>
      <c r="CC68" s="106"/>
      <c r="CD68" s="106"/>
      <c r="CE68" s="106"/>
      <c r="CF68" s="106"/>
      <c r="CG68" s="106"/>
      <c r="CH68" s="106"/>
      <c r="CI68" s="106"/>
      <c r="CJ68" s="106"/>
      <c r="CK68" s="106"/>
      <c r="CL68" s="106"/>
      <c r="CM68" s="106"/>
      <c r="CN68" s="106"/>
      <c r="CO68" s="106"/>
      <c r="CP68" s="106"/>
      <c r="CQ68" s="106"/>
      <c r="CR68" s="106"/>
      <c r="CS68" s="106"/>
      <c r="CT68" s="106"/>
      <c r="CU68" s="106"/>
      <c r="CV68" s="106"/>
      <c r="CW68" s="106"/>
      <c r="CX68" s="106"/>
      <c r="CY68" s="106"/>
      <c r="CZ68" s="106"/>
      <c r="DA68" s="106"/>
      <c r="DB68" s="106"/>
      <c r="DC68" s="106"/>
      <c r="DD68" s="106"/>
      <c r="DE68" s="106"/>
      <c r="DF68" s="106"/>
      <c r="DG68" s="106"/>
      <c r="DH68" s="106"/>
      <c r="DI68" s="106"/>
      <c r="DJ68" s="106"/>
      <c r="DK68" s="106"/>
      <c r="DL68" s="106"/>
      <c r="DM68" s="106"/>
      <c r="DN68" s="106"/>
      <c r="DO68" s="106"/>
      <c r="DP68" s="106"/>
      <c r="DQ68" s="106"/>
      <c r="DR68" s="106"/>
      <c r="DS68" s="106"/>
      <c r="DT68" s="106"/>
      <c r="DU68" s="106"/>
      <c r="DV68" s="106"/>
      <c r="DW68" s="106"/>
      <c r="DX68" s="106"/>
      <c r="DY68" s="106"/>
      <c r="DZ68" s="106"/>
      <c r="EA68" s="106"/>
      <c r="EB68" s="106"/>
      <c r="EC68" s="106"/>
      <c r="ED68" s="106"/>
      <c r="EE68" s="106"/>
      <c r="EF68" s="106"/>
      <c r="EG68" s="106"/>
    </row>
    <row r="69" spans="1:137" s="2" customFormat="1" ht="15" hidden="1" customHeight="1">
      <c r="A69" s="3"/>
      <c r="B69" s="3"/>
      <c r="C69" s="3"/>
      <c r="D69" s="8"/>
      <c r="E69" s="8"/>
      <c r="F69" s="8"/>
      <c r="G69" s="8"/>
      <c r="H69" s="8"/>
      <c r="I69" s="3"/>
      <c r="J69" s="3"/>
      <c r="K69" s="3"/>
      <c r="L69" s="3"/>
      <c r="M69" s="3"/>
      <c r="N69" s="9"/>
      <c r="O69" s="9"/>
      <c r="P69" s="2">
        <v>9</v>
      </c>
      <c r="Q69" s="13" t="str">
        <f>IF(AND(V5=2,R48=2),"Lim",IF(AND(V5=2,R48=3),"Trebaserte plater",IF(AND(V5=3,R48=3),"Veggkledninger",IF(AND(V5=3,R48=2),"XPS, EPS og cellegummi-isolasjon","-"))))</f>
        <v>-</v>
      </c>
      <c r="R69" s="3" t="b">
        <f>IF(AND(V5=2,$R$48=3,$R$60=9),TRUE,FALSE)</f>
        <v>0</v>
      </c>
      <c r="S69" s="41" t="b">
        <f>IF(AND(V5=3,$R$48=3,$R$60=9),TRUE,FALSE)</f>
        <v>0</v>
      </c>
      <c r="T69" s="3" t="b">
        <f>IF(AND(V5=2,$R$48=2,$R$52=3,$R$60=9),TRUE,FALSE)</f>
        <v>0</v>
      </c>
      <c r="U69" s="3" t="b">
        <f>IF(AND(V5=2,$R$48=2,$R$52=2,$R$60=9),TRUE,FALSE)</f>
        <v>0</v>
      </c>
      <c r="V69" s="41" t="b">
        <f>IF(AND($V$5=3,$R$48=2,$R$52=2,$R$60=9),TRUE,FALSE)</f>
        <v>0</v>
      </c>
      <c r="W69" s="7" t="str">
        <f>IF(R69=TRUE,"trebaserte plater",IF(S69=TRUE,"veggkledninger",IF(U69=TRUE,"lim",IF(V69=TRUE,"XPS, EPS og cellegummi",""))))</f>
        <v/>
      </c>
      <c r="X69" s="7" t="str">
        <f>IF($R$69=TRUE,"1.a",IF($S$69=TRUE,"H1.",IF($T$69=TRUE,"1.",IF($U$69=TRUE,"1.",IF(V69=TRUE,"1.","")))))</f>
        <v/>
      </c>
      <c r="Y69" s="7" t="str">
        <f>IF($R$69=TRUE,"Produktet kan klassifiseres som E1 iht. testmetode EN 717-1:2004",IF($S$69=TRUE,"Grenseverdier for utslipp:",IF($T$69=TRUE,"Bisfenol A",IF($U$69=TRUE,"Bisfenol A",IF(V69=TRUE,"Bromerte flammehemmere (HBCD, TBBPA)","")))))</f>
        <v/>
      </c>
      <c r="Z69" s="7" t="str">
        <f>IF($R$69=TRUE,"EN 13986:2002
EN 717-1:2004","")</f>
        <v/>
      </c>
      <c r="AA69" s="7"/>
      <c r="AB69" s="4" t="str">
        <f>IF($R$69=TRUE,"1.b",IF($T$69=TRUE,"2.",IF($U$69=TRUE,"2.","")))</f>
        <v/>
      </c>
      <c r="AC69" s="4" t="str">
        <f>IF(S69=TRUE,"TVOC: 200 μg/m²h (tilsvarer 417 μg/m³) etter 28 dager,",IF($R$69=TRUE,"Undertegnede kan bekrefte at produktet ikke er tilsatt noen materialer som inneholder formaldehyd under produksjon eller ved bearbeiding etter produksjonen. Disse kan klassifiseres som E1 uten prøving",IF($T$69=TRUE,"Ftalatene DEHP, BBP og DBP",IF($U$69=TRUE,"Ftalatene DEHP, BBP og DBP",""))))</f>
        <v/>
      </c>
      <c r="AD69" s="4" t="str">
        <f>IF($R$69=TRUE,"NS-EN 13986:2002",IF($R$69=TRUE,"EN 13986:2002
EN 717-1:2004",IF(S69=TRUE,"NS-EN 15251: 2007 (tillegg C)
NS-EN 233:1999, punkt 5.7 "&amp;" 
NS-EN 234:1997, punkt 9.0
NS-EN 259-1:2001, punkt 4.5 – 4.7","")))</f>
        <v/>
      </c>
      <c r="AE69" s="3" t="str">
        <f>IF($S$69=TRUE,"1. ISO 16000-9, ISO 16000-6 og ISO 16000-3. Prøving og beregning i samsvar med EN 16516.
2. NS-EN 12149:1998: Test A, Test B , Test C.","")</f>
        <v/>
      </c>
      <c r="AF69" s="4" t="str">
        <f>IF($R$69=TRUE,"2.",IF($T$69=TRUE,"3.",IF($U$69=TRUE,"3.","")))</f>
        <v/>
      </c>
      <c r="AG69" s="4" t="str">
        <f>IF(S69=TRUE,"FORMALDEHYD: 62 μg/m²h (tilsvarer 50 μg/m³) etter 3 dager eller 50 μg/m²h (tilsvarer 104 μg/m³) etter 28 dager,",IF($R$69=TRUE,"Produktet har en emisjonstest som viser at emisjoner av TVOC er under 0,2 mg/m²h ¹⁾  ²⁾",IF($T$69=TRUE,"Klorparafiner",IF($U$69=TRUE,"Klorparafiner",""))))</f>
        <v/>
      </c>
      <c r="AH69" s="4" t="str">
        <f>IF($R$69=TRUE,"NS-EN 15251:2007 (tillegg C)",IF(S69=TRUE,"NS-EN 15251: 2007 (tillegg C)
NS-EN 233:1999, punkt 5.7 "&amp;" 
NS-EN 234:1997, punkt 9.0
NS-EN 259-1:2001, punkt 4.5 – 4.7",""))</f>
        <v/>
      </c>
      <c r="AI69" s="4" t="str">
        <f>IF($S$69=TRUE,"1. ISO 16000-9, ISO 16000-6 og ISO 16000-3. Prøving og beregning i samsvar med EN 16516.
2. NS-EN 12149:1998: Test A, Test B , Test C.","")</f>
        <v/>
      </c>
      <c r="AJ69" s="4"/>
      <c r="AK69" s="4" t="str">
        <f>IF($R$69=TRUE,"3.",IF($T$69=TRUE,"4.",IF($U$69=TRUE,"4.","")))</f>
        <v/>
      </c>
      <c r="AL69" s="4" t="str">
        <f>IF(S69=TRUE,"KREFTFREMKALLENDE: 5 μg/m²h (tilsvarer 10 μg/m³) etter 28 dager.",IF($R$69=TRUE,"Produktet har ikke en emisjonstest som måler emisjoner av ammoniakk, men undertegnede kan bekrefte:
1)   at ammoniakk ikke er sporbart aktivt i produktet, OG
2)   at produktet ikke inneholder stoffer som kan avspaltes til ammoniakk",IF($T$69=TRUE,"Krom","")))</f>
        <v/>
      </c>
      <c r="AM69" s="4" t="str">
        <f>IF($R$69=TRUE,
"EN 717-1:2004
EN 13999-2:2007
EN 13999-3:2007
EN 13999-4:2007
EN 12149:1997",IF(S69=TRUE,"NS-EN 15251: 2007 (tillegg C)
NS-EN 233:1999, punkt 5.7 "&amp;" 
NS-EN 234:1997, punkt 9.0
NS-EN 259-1:2001, punkt 4.5 – 4.7",""))</f>
        <v/>
      </c>
      <c r="AN69" s="4" t="str">
        <f>IF($S$69=TRUE,"1. ISO 16000-9, ISO 16000-6 og ISO 16000-3. Prøving og beregning i samsvar med EN 16516.
2. NS-EN 12149:1998: Test A, Test B , Test C.","")</f>
        <v/>
      </c>
      <c r="AO69" s="4" t="str">
        <f>IF($S$69=TRUE,"H2.",IF($R$69=TRUE,"4.a",IF($T$69=TRUE,"5.",IF($U$69=TRUE,"5.",""))))</f>
        <v/>
      </c>
      <c r="AP69" s="4" t="str">
        <f>IF(S69=TRUE,"Migrering av tungmetaller:
Antimon – ingen øvre grenseverdi, 
Arsen 25 mg/kg, Barium 500 mg/kg, 
Kadmium 25 mg/kg, Krom 60 mg/kg, Bly 90 mg/kg, 
Kvikksølv 20 mg/kg, Selen 165 mg/kg",IF($R$69=TRUE,"Produktet har en emisjonstest som viser at emisjoner av ammoniakk er under 0,03 mg/m²h ¹⁾  ²⁾  ³⁾",IF($T$69=TRUE,"Oktyl-nonylfenoler",IF($U$69=TRUE,"Oktyl-nonylfenoler",""))))</f>
        <v/>
      </c>
      <c r="AQ69" s="4" t="str">
        <f>IF($R$69=TRUE,"NS-EN 15251:2007 (tillegg C)",IF(S69=TRUE,"NS-EN 15102:2007, tabell 2, 
NS-EN 15251: 2007 (tillegg C)
NS-EN 233:1999, punkt 5.7 "&amp;" 
NS-EN 234:1997, punkt 9.0
NS-EN 259-1:2001, punkt 4.5 – 4.7",""))</f>
        <v/>
      </c>
      <c r="AR69" s="4" t="str">
        <f>IF($S$69=TRUE,"1. ISO 16000-9, ISO 16000-6 og ISO 16000-3. Prøving og beregning i samsvar med EN 16516.
2. NS-EN 12149:1998: Test A, Test B , Test C.","")</f>
        <v/>
      </c>
      <c r="AS69" s="4" t="str">
        <f>IF($R$69=TRUE,"4.b",IF($T$69=TRUE,"6.",""))</f>
        <v/>
      </c>
      <c r="AT69" s="4" t="str">
        <f>IF(S69=TRUE,"Migrering av VCM:
Vinylkloridmonomer (VCM): Pass (innhold &lt; 0,2 mg/kg),",IF($R$69=TRUE,"Produktet har en emisjonstest som viser at misnøye med lukt er under 15 %. 
Gjelder kun hvis relevant for produktet ¹⁾",IF($T$69=TRUE,"Tris(2-kloretyl)fosfat (TCEP)","")))</f>
        <v/>
      </c>
      <c r="AU69" s="4" t="str">
        <f>IF($R$69=TRUE,"NS-EN 15251:2007 (tillegg C)",IF(S69=TRUE,"NS-EN 15251: 2007 (tillegg C)
NS-EN 233:1999, punkt 5.7 "&amp;" 
NS-EN 234:1997, punkt 9.0
NS-EN 259-1:2001, punkt 4.5 – 4.7",""))</f>
        <v/>
      </c>
      <c r="AV69" s="4" t="str">
        <f>IF($S$69=TRUE,"1. ISO 16000-9, ISO 16000-6 og ISO 16000-3. Prøving og beregning i samsvar med EN 16516.
2. NS-EN 12149:1998: Test A, Test B , Test C.","")</f>
        <v/>
      </c>
      <c r="AW69" s="4" t="str">
        <f>IF($R$69=TRUE,"5.","")</f>
        <v/>
      </c>
      <c r="AX69" s="4" t="str">
        <f>IF(S69=TRUE,"Migrering av formaldehyd:
Pass (innhold &lt; 120 mg/kg),",IF($R$69=TRUE,"Produktet har en emisjonstest som viser at emisjoner av kreftfremkallende forbindelser (IARC) er under 0,005 mg/m²h ¹⁾  ²⁾",""))</f>
        <v/>
      </c>
      <c r="AY69" s="4" t="str">
        <f>IF($R$69=TRUE,"NS-EN 15251:2007 (tillegg C)",IF(S69=TRUE,"NS-EN 15251: 2007 (tillegg C)
NS-EN 233:1999, punkt 5.7 "&amp;" 
NS-EN 234:1997, punkt 9.0
NS-EN 259-1:2001, punkt 4.5 – 4.7",""))</f>
        <v/>
      </c>
      <c r="AZ69" s="4" t="str">
        <f>IF($S$69=TRUE,"1. ISO 16000-9, ISO 16000-6 og ISO 16000-3. Prøving og beregning i samsvar med EN 16516.
2. NS-EN 12149:1998: Test A, Test B , Test C.","")</f>
        <v/>
      </c>
      <c r="BA69" s="4" t="str">
        <f>IF($R$69=TRUE,"6.","")</f>
        <v/>
      </c>
      <c r="BB69" s="4" t="str">
        <f>IF($R$69=TRUE,"Produktet har en emisjonstest som viser at emisjoner av formaldehyd er under 0,05 mg/m²h ¹⁾  ²⁾","")</f>
        <v/>
      </c>
      <c r="BC69" s="4" t="str">
        <f>IF($R$69=TRUE,"NS-EN 15251:2007 (tillegg C)","")</f>
        <v/>
      </c>
      <c r="BD69" s="4"/>
      <c r="BE69" s="4" t="str">
        <f>IF($R$69=TRUE,"7.","")</f>
        <v/>
      </c>
      <c r="BF69" s="4" t="str">
        <f>IF($R$69=TRUE,"Testene i punkt 2 – 6 er utført iht. ISO 16000-serien med målinger gjort etter 28 dager","")</f>
        <v/>
      </c>
      <c r="BG69" s="4" t="str">
        <f>IF($R$69=TRUE,"ISO 16000","")</f>
        <v/>
      </c>
      <c r="BH69" s="4"/>
      <c r="BI69" s="4" t="str">
        <f>IF($R$69=TRUE,"8.","")</f>
        <v/>
      </c>
      <c r="BJ69" s="4" t="str">
        <f>IF($R$69=TRUE,"Undertegnede kan bekrefte fravær av regulerte treimpregneringsmidler og at minimumsnivå er overholdt","")</f>
        <v/>
      </c>
      <c r="BK69" s="4" t="str">
        <f>IF($R$69=TRUE,"NS-EN 13986:2002","")</f>
        <v/>
      </c>
      <c r="BL69" s="4"/>
      <c r="BM69" s="4" t="str">
        <f>IF(R69=TRUE,"¹⁾ Under «Vanlig stilte spørsmål» på www.ngbc.no gis hjelp til å vurdere ulike kjente emisjonssertifikater opp mot kravene i NS-EN 15251.","")</f>
        <v/>
      </c>
      <c r="BN69" s="4" t="str">
        <f>IF(R69=TRUE,"²⁾ Merk at emisjonene her er oppgitt i mg/m²h. De fleste emisjonssertifikater oppgir emisjoner i mg/m³. Det finnes en metode for å konvertere disse slik at man kan sammenligne resultater. Deres foretrukne laboratorium kan bistå dere med dette.","")</f>
        <v/>
      </c>
      <c r="BO69" s="4" t="str">
        <f>IF(R69=TRUE,"³⁾ Merk at M1 er den eneste kjente emisjonsmerkeordningen der ammoniakk inngår som en av de emisjonene som måles.","")</f>
        <v/>
      </c>
      <c r="BP69" s="3" t="b">
        <f>OR(T69,U69)</f>
        <v>0</v>
      </c>
      <c r="BQ69" s="3"/>
      <c r="BR69" s="3"/>
      <c r="BS69" s="3"/>
      <c r="BT69" s="3"/>
      <c r="BU69" s="106"/>
      <c r="BV69" s="106"/>
      <c r="BW69" s="106"/>
      <c r="BX69" s="106"/>
      <c r="BY69" s="106"/>
      <c r="BZ69" s="106"/>
      <c r="CA69" s="106"/>
      <c r="CB69" s="106"/>
      <c r="CC69" s="106"/>
      <c r="CD69" s="106"/>
      <c r="CE69" s="106"/>
      <c r="CF69" s="106"/>
      <c r="CG69" s="106"/>
      <c r="CH69" s="106"/>
      <c r="CI69" s="106"/>
      <c r="CJ69" s="106"/>
      <c r="CK69" s="106"/>
      <c r="CL69" s="106"/>
      <c r="CM69" s="106"/>
      <c r="CN69" s="106"/>
      <c r="CO69" s="106"/>
      <c r="CP69" s="106"/>
      <c r="CQ69" s="106"/>
      <c r="CR69" s="106"/>
      <c r="CS69" s="106"/>
      <c r="CT69" s="106"/>
      <c r="CU69" s="106"/>
      <c r="CV69" s="106"/>
      <c r="CW69" s="106"/>
      <c r="CX69" s="106"/>
      <c r="CY69" s="106"/>
      <c r="CZ69" s="106"/>
      <c r="DA69" s="106"/>
      <c r="DB69" s="106"/>
      <c r="DC69" s="106"/>
      <c r="DD69" s="106"/>
      <c r="DE69" s="106"/>
      <c r="DF69" s="106"/>
      <c r="DG69" s="106"/>
      <c r="DH69" s="106"/>
      <c r="DI69" s="106"/>
      <c r="DJ69" s="106"/>
      <c r="DK69" s="106"/>
      <c r="DL69" s="106"/>
      <c r="DM69" s="106"/>
      <c r="DN69" s="106"/>
      <c r="DO69" s="106"/>
      <c r="DP69" s="106"/>
      <c r="DQ69" s="106"/>
      <c r="DR69" s="106"/>
      <c r="DS69" s="106"/>
      <c r="DT69" s="106"/>
      <c r="DU69" s="106"/>
      <c r="DV69" s="106"/>
      <c r="DW69" s="106"/>
      <c r="DX69" s="106"/>
      <c r="DY69" s="106"/>
      <c r="DZ69" s="106"/>
      <c r="EA69" s="106"/>
      <c r="EB69" s="106"/>
      <c r="EC69" s="106"/>
      <c r="ED69" s="106"/>
      <c r="EE69" s="106"/>
      <c r="EF69" s="106"/>
      <c r="EG69" s="106"/>
    </row>
    <row r="70" spans="1:137" s="2" customFormat="1" ht="15" hidden="1" customHeight="1">
      <c r="A70" s="3"/>
      <c r="B70" s="3"/>
      <c r="C70" s="3"/>
      <c r="D70" s="8"/>
      <c r="E70" s="8"/>
      <c r="F70" s="8"/>
      <c r="G70" s="8"/>
      <c r="H70" s="8"/>
      <c r="I70" s="3"/>
      <c r="J70" s="3"/>
      <c r="K70" s="3"/>
      <c r="L70" s="3"/>
      <c r="M70" s="8"/>
      <c r="N70" s="9"/>
      <c r="O70" s="9"/>
      <c r="P70" s="2">
        <v>10</v>
      </c>
      <c r="Q70" s="13" t="str">
        <f>IF(AND(V5=2,R48=2),"Sparkel, fugemasse og -skum",IF(AND(V5=2,R48=3),"Veggkledninger",IF(AND(V5=3,R48=3),"Fugemasser",IF(AND(V5=3,R48=2),"Lim","-"))))</f>
        <v>-</v>
      </c>
      <c r="R70" s="3" t="b">
        <f>IF(AND(V5=2,$R$48=3,$R$60=10),TRUE,FALSE)</f>
        <v>0</v>
      </c>
      <c r="S70" s="41" t="b">
        <f>IF(AND(V5=3,$R$48=3,$R$60=10),TRUE,FALSE)</f>
        <v>0</v>
      </c>
      <c r="T70" s="3" t="b">
        <f>IF(AND(V5=2,$R$48=2,$R$52=3,$R$60=10),TRUE,FALSE)</f>
        <v>0</v>
      </c>
      <c r="U70" s="3" t="b">
        <f>IF(AND(V5=2,$R$48=2,$R$52=2,$R$60=10),TRUE,FALSE)</f>
        <v>0</v>
      </c>
      <c r="V70" s="41" t="b">
        <f>IF(AND($V$5=3,$R$48=2,$R$52=2,$R$60=10),TRUE,FALSE)</f>
        <v>0</v>
      </c>
      <c r="W70" s="7" t="str">
        <f>IF(R70=TRUE,"veggkledninger",IF(S70=TRUE,"fugemasser",IF(V70=TRUE,"lim","")))</f>
        <v/>
      </c>
      <c r="X70" s="7" t="str">
        <f>IF($R$70=TRUE,"1.",IF(S70=TRUE,"I.",IF($T$70=TRUE,"1.",IF($U$70=TRUE,"1.",IF(V70=TRUE,"1.","")))))</f>
        <v/>
      </c>
      <c r="Y70" s="7" t="str">
        <f>IF($R$70=TRUE,"Produktet har en emisjonstest som viser at emisjoner av TVOC er under 0,2 mg/m²h ¹⁾  ²⁾",IF($S$70=TRUE,"Grenseverdier for utslipp:",IF($T$70=TRUE,"Bisfenol A",IF($U$70=TRUE,"Bisfenol A",IF($V$70=TRUE,"Bisfenol A","")))))</f>
        <v/>
      </c>
      <c r="Z70" s="7" t="str">
        <f>IF($R$70=TRUE,"NS-EN 15251:2007 (tillegg C)","")</f>
        <v/>
      </c>
      <c r="AA70" s="7"/>
      <c r="AB70" s="4" t="str">
        <f>IF($R$70=TRUE,"2.",IF($T$70=TRUE,"2.",IF($U$70=TRUE,"2.",IF($V$70=TRUE,"2.",""))))</f>
        <v/>
      </c>
      <c r="AC70" s="4" t="str">
        <f>IF($S$70=TRUE,"TVOC: 60 μg/m³ etter 28 dager,",IF($R$70=TRUE,"Produktet har en emisjonstest som viser at emisjoner av formaldehyd er under 0,05 mg/m²h",IF($T$70=TRUE,"Ftalater (DEHP)",IF($U$70=TRUE,"Ftalatene DEHP, BBP og DBP",IF($V$70=TRUE,"Bly","")))))</f>
        <v/>
      </c>
      <c r="AD70" s="4" t="str">
        <f>IF(S70=TRUE,"NS-EN 15251:2007 (tillegg C)",IF($R$70=TRUE,"NS-EN 15251:2007 (tillegg C)",""))</f>
        <v/>
      </c>
      <c r="AE70" s="3" t="str">
        <f>IF($S$70=TRUE,"ISO 16000-9 med ISO 16000-6 og ISO 16000-3. Prøving og beregning i samsvar med EN 16516.","")</f>
        <v/>
      </c>
      <c r="AF70" s="4" t="str">
        <f>IF($R$70=TRUE,"3.a",IF($T$70=TRUE,"3.",IF($U$70=TRUE,"3.",IF($V$70=TRUE,"3.",""))))</f>
        <v/>
      </c>
      <c r="AG70" s="4" t="str">
        <f>IF(S70=TRUE,"FORMALDEHYD: 50 μg/m³ etter 3 dager eller 104 μg/m³ etter 28 dager,",IF($R$70=TRUE,"Produktet har en emisjonstest som viser at emisjoner av ammoniakk er under 0,03 mg/m²h ¹⁾  ²⁾  ³⁾",IF($T$70=TRUE,"Klorparafiner",IF($U$70=TRUE,"Klorparafiner",IF($V$70=TRUE,"Klorerte parafiner","")))))</f>
        <v/>
      </c>
      <c r="AH70" s="4" t="str">
        <f>IF(S70=TRUE,"NS-EN 15251:2007 (tillegg C)",IF($R$70=TRUE,"NS-EN 15251:2007 (tillegg C)",""))</f>
        <v/>
      </c>
      <c r="AI70" s="4" t="str">
        <f>IF($S$70=TRUE,"ISO 16000-9 med ISO 16000-6 og ISO 16000-3. Prøving og beregning i samsvar med EN 16516.","")</f>
        <v/>
      </c>
      <c r="AJ70" s="4"/>
      <c r="AK70" s="4" t="str">
        <f>IF($R$70=TRUE,"3.b",IF($T$70=TRUE,"4.",IF($U$70=TRUE,"4.",IF($V$70=TRUE,"4.",""))))</f>
        <v/>
      </c>
      <c r="AL70" s="4" t="str">
        <f>IF(S70=TRUE,"KREFTFREMKALLENDE: 1 μg/m³.",IF($R$70=TRUE,"Produktet har ikke en emisjonstest som måler emisjoner av ammoniakk, men undertegnede kan bekrefte:
1)   at ammoniakk ikke er sporbart aktivt i produktet, OG
2)   at produktet ikke inneholder stoffer som kan avspaltes til ammoniakk",IF($T$70=TRUE,"Krom",IF($U$70=TRUE,"Krom",IF($V$70=TRUE,"Krom","")))))</f>
        <v/>
      </c>
      <c r="AM70" s="4" t="str">
        <f>IF(S70=TRUE,"NS-EN 15251:2007 (tillegg C)",IF($R$70=TRUE,
"EN 717-1:2004
EN 13999-2:2007
EN 13999-3:2007
EN 13999-4:2007
EN 12149:1997",""))</f>
        <v/>
      </c>
      <c r="AN70" s="4" t="str">
        <f>IF($S$70=TRUE,"ISO 16000-9 med ISO 16000-6 og ISO 16000-3. Prøving og beregning i samsvar med EN 16516.","")</f>
        <v/>
      </c>
      <c r="AO70" s="4" t="str">
        <f>IF($R$70=TRUE,"4.",IF($T$70=TRUE,"5.",IF($U$70=TRUE,"5.",IF($V$70=TRUE,"5.",""))))</f>
        <v/>
      </c>
      <c r="AP70" s="4" t="str">
        <f>IF($R$70=TRUE,"Produktet har en emisjonstest som viser at emisjoner av kreftfremkallende forbindelser (IARC) er under 0,005 mg/m²h ¹⁾  ²⁾",IF($T$70=TRUE,"Oktyl-nonylfenoler",IF($U$70=TRUE,"Oktyl-nonylfenoler",IF($V$70=TRUE,"Oktyl-nonylfenoler",""))))</f>
        <v/>
      </c>
      <c r="AQ70" s="4" t="str">
        <f>IF($R$70=TRUE,"NS-EN 15251:2007 (tillegg C)","")</f>
        <v/>
      </c>
      <c r="AR70" s="4"/>
      <c r="AS70" s="4" t="str">
        <f>IF($R$70=TRUE,"5.",IF($T$70=TRUE,"6.",IF($U$70=TRUE,"6.",IF($V$70=TRUE,"6.",""))))</f>
        <v/>
      </c>
      <c r="AT70" s="4" t="str">
        <f>IF($R$70=TRUE,"Produktet har en emisjonstest som viser at misnøye med lukt er under 15 %. 
Gjelder kun hvis relevant for produktet ¹⁾",IF($T$70=TRUE,"Siloksan (D4 og D5)",IF($U$70=TRUE,"Siloksan (D5)",IF($V$70=TRUE,"Tris(2-kloretyl)fosfat (TCEP)",""))))</f>
        <v/>
      </c>
      <c r="AU70" s="4" t="str">
        <f>IF($R$70=TRUE,"NS-EN 15251:2007 (tillegg C)","")</f>
        <v/>
      </c>
      <c r="AV70" s="4"/>
      <c r="AW70" s="4" t="str">
        <f>IF($R$70=TRUE,"6.","")</f>
        <v/>
      </c>
      <c r="AX70" s="4" t="str">
        <f>IF($R$70=TRUE,"Testene i punkt 1 – 5 er utført iht. ISO 16000-serien med målinger gjort etter 28 dager","")</f>
        <v/>
      </c>
      <c r="AY70" s="4" t="str">
        <f>IF($R$70=TRUE,"ISO 16000","")</f>
        <v/>
      </c>
      <c r="AZ70" s="4"/>
      <c r="BA70" s="4" t="str">
        <f>IF($R$70=TRUE,"7.","")</f>
        <v/>
      </c>
      <c r="BB70" s="4" t="str">
        <f>IF($R$70=TRUE,"Utslippet av formaldehyd og VCM (vinylkloridmonomer) skal være lavt og innenfor EN-standarden for materialet","")</f>
        <v/>
      </c>
      <c r="BC70" s="4" t="str">
        <f>IF($R$70=TRUE,"EN 233:1999
EN 234:1989
EN 259:2001
EN 266:1992
EN 12149:1997","")</f>
        <v/>
      </c>
      <c r="BD70" s="4"/>
      <c r="BE70" s="4" t="str">
        <f>IF($R$70=TRUE,"8.","")</f>
        <v/>
      </c>
      <c r="BF70" s="4" t="str">
        <f>IF($R$70=TRUE,"Migrering av tungmetaller og andre giftige stoffer er innenfor EN-standarden for materialet","")</f>
        <v/>
      </c>
      <c r="BG70" s="4" t="str">
        <f>IF($R$70=TRUE,"EN 12149:1997","")</f>
        <v/>
      </c>
      <c r="BH70" s="4"/>
      <c r="BI70" s="4"/>
      <c r="BJ70" s="4"/>
      <c r="BK70" s="4"/>
      <c r="BL70" s="4"/>
      <c r="BM70" s="4" t="str">
        <f>IF(R70=TRUE,"¹⁾ Under «Vanlig stilte spørsmål» på www.ngbc.no gis hjelp til å vurdere ulike kjente emisjonssertifikater opp mot kravene i NS-EN 15251.","")</f>
        <v/>
      </c>
      <c r="BN70" s="4" t="str">
        <f>IF(R70=TRUE,"²⁾ Merk at emisjonene her er oppgitt i mg/m²h. De fleste emisjonssertifikater oppgir emisjoner i mg/m³. Det finnes en metode for å konvertere disse slik at man kan sammenligne resultater. Deres foretrukne laboratorium kan bistå dere med dette.","")</f>
        <v/>
      </c>
      <c r="BO70" s="4" t="str">
        <f>IF(R70=TRUE,"³⁾ Merk at M1 er den eneste kjente emisjonsmerkeordningen der ammoniakk inngår som en av de emisjonene som måles.","")</f>
        <v/>
      </c>
      <c r="BP70" s="3" t="b">
        <f t="shared" si="0"/>
        <v>0</v>
      </c>
      <c r="BQ70" s="3"/>
      <c r="BR70" s="3"/>
      <c r="BS70" s="3"/>
      <c r="BT70" s="3"/>
      <c r="BU70" s="106"/>
      <c r="BV70" s="106"/>
      <c r="BW70" s="106"/>
      <c r="BX70" s="106"/>
      <c r="BY70" s="106"/>
      <c r="BZ70" s="106"/>
      <c r="CA70" s="106"/>
      <c r="CB70" s="106"/>
      <c r="CC70" s="106"/>
      <c r="CD70" s="106"/>
      <c r="CE70" s="106"/>
      <c r="CF70" s="106"/>
      <c r="CG70" s="106"/>
      <c r="CH70" s="106"/>
      <c r="CI70" s="106"/>
      <c r="CJ70" s="106"/>
      <c r="CK70" s="106"/>
      <c r="CL70" s="106"/>
      <c r="CM70" s="106"/>
      <c r="CN70" s="106"/>
      <c r="CO70" s="106"/>
      <c r="CP70" s="106"/>
      <c r="CQ70" s="106"/>
      <c r="CR70" s="106"/>
      <c r="CS70" s="106"/>
      <c r="CT70" s="106"/>
      <c r="CU70" s="106"/>
      <c r="CV70" s="106"/>
      <c r="CW70" s="106"/>
      <c r="CX70" s="106"/>
      <c r="CY70" s="106"/>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06"/>
      <c r="DX70" s="106"/>
      <c r="DY70" s="106"/>
      <c r="DZ70" s="106"/>
      <c r="EA70" s="106"/>
      <c r="EB70" s="106"/>
      <c r="EC70" s="106"/>
      <c r="ED70" s="106"/>
      <c r="EE70" s="106"/>
      <c r="EF70" s="106"/>
      <c r="EG70" s="106"/>
    </row>
    <row r="71" spans="1:137" s="2" customFormat="1" ht="15" hidden="1" customHeight="1">
      <c r="A71" s="3"/>
      <c r="B71" s="3"/>
      <c r="C71" s="3"/>
      <c r="D71" s="8"/>
      <c r="E71" s="8"/>
      <c r="F71" s="8"/>
      <c r="G71" s="8"/>
      <c r="H71" s="8"/>
      <c r="I71" s="3"/>
      <c r="J71" s="3"/>
      <c r="K71" s="3"/>
      <c r="L71" s="3"/>
      <c r="M71" s="3"/>
      <c r="N71" s="9"/>
      <c r="O71" s="9"/>
      <c r="P71" s="2">
        <v>11</v>
      </c>
      <c r="Q71" s="13" t="str">
        <f>IF(AND(V5=2,R48=2),"Maling, beis og lakk",IF(AND(V5=3,R48=3),"Gulvprodukter",IF(AND(V5=3,R48=2),"Sparkel, fugemasse og -skum","-")))</f>
        <v>-</v>
      </c>
      <c r="R71" s="3" t="b">
        <f>IF(AND(V5=2,$R$48=3,$R$60=11),TRUE,FALSE)</f>
        <v>0</v>
      </c>
      <c r="S71" s="41" t="b">
        <f>IF(AND($V$5=3,$R$48=3,$R$60=11),TRUE,FALSE)</f>
        <v>0</v>
      </c>
      <c r="T71" s="3" t="b">
        <f>IF(AND(V5=2,$R$48=2,$R$52=3,$R$60=11),TRUE,FALSE)</f>
        <v>0</v>
      </c>
      <c r="U71" s="3" t="b">
        <f>IF(AND(V5=2,$R$48=2,$R$52=2,$R$60=11),TRUE,FALSE)</f>
        <v>0</v>
      </c>
      <c r="V71" s="41" t="b">
        <f>IF(AND($V$5=3,$R$48=2,$R$52=2,$R$60=11),TRUE,FALSE)</f>
        <v>0</v>
      </c>
      <c r="W71" s="7" t="str">
        <f>IF(S71=TRUE,"gulvprodukter",IF(T71=TRUE,"maling, beis og lakk",IF(U71=TRUE,"maling, beis og lakk",IF(V71=TRUE,"sparkel, fugemasse og -skum",""))))</f>
        <v/>
      </c>
      <c r="X71" s="7" t="str">
        <f>IF(S71=TRUE,"J.",IF($T$71=TRUE,"1.",IF($U$71=TRUE,"1.",IF(V71=TRUE,"1.",""))))</f>
        <v/>
      </c>
      <c r="Y71" s="7" t="str">
        <f>IF($T$71=TRUE,"Bisfenol A",IF($U$71=TRUE,"Bisfenol A",IF($S$71=TRUE,"Grenseverdier for utslipp for alle produkter:",IF($V$71=TRUE,"Bisfenol A",""))))</f>
        <v/>
      </c>
      <c r="Z71" s="7"/>
      <c r="AA71" s="7"/>
      <c r="AB71" s="4" t="str">
        <f>IF($T$71=TRUE,"2.",IF($U$71=TRUE,"2.",IF(V71=TRUE,"2.","")))</f>
        <v/>
      </c>
      <c r="AC71" s="4" t="str">
        <f>IF(S71=TRUE,"TVOC: 200 μg/m²h (160 μg/m³) etter 28 dager,",IF($T$71=TRUE,"Ftalat DEHP",IF($U$71=TRUE,"Ftalatene DEHP, BBP og DBP",IF($V$71=TRUE,"Ftalater (DEHP)",""))))</f>
        <v/>
      </c>
      <c r="AD71" s="4" t="str">
        <f>IF($S$71=TRUE,"NS-EN 15251:2007 (tillegg C)","")</f>
        <v/>
      </c>
      <c r="AE71" s="3" t="str">
        <f>IF($S$71=TRUE,"ISO 16000-9 med ISO 16000-6 og ISO 16000-3. Prøving og beregning i samsvar med EN 16516.","")</f>
        <v/>
      </c>
      <c r="AF71" s="4" t="str">
        <f>IF($T$71=TRUE,"3.",IF($U$71=TRUE,"3.",IF(V71=TRUE,"3.","")))</f>
        <v/>
      </c>
      <c r="AG71" s="4" t="str">
        <f>IF(S71=TRUE,"FORMALDEHYD: 62 μg/m²h (50 μg/m³) etter 3 dager eller 50 μg/m²h (40 μg/m³) etter 28 dager,",IF($T$71=TRUE,"Klorparafiner",IF($U$71=TRUE,"Klorparafiner",IF($V$71=TRUE,"Klorerte parafiner",""))))</f>
        <v/>
      </c>
      <c r="AH71" s="4" t="str">
        <f>IF($S$71=TRUE,"NS-EN 15251:2007 (tillegg C)","")</f>
        <v/>
      </c>
      <c r="AI71" s="4" t="str">
        <f>IF($S$71=TRUE,"ISO 16000-9 med ISO 16000-6 og ISO 16000-3. Prøving og beregning i samsvar med EN 16516.","")</f>
        <v/>
      </c>
      <c r="AJ71" s="4"/>
      <c r="AK71" s="4" t="str">
        <f>IF($T$71=TRUE,"4.",IF($U$71=TRUE,"4.",IF(V71=TRUE,"4.","")))</f>
        <v/>
      </c>
      <c r="AL71" s="4" t="str">
        <f>IF(S71=TRUE,"KREFTFREMKALLENDE: 5 μg/m² h (4 μg/m³).",IF($T$71=TRUE,"Krom",IF($U$71=TRUE,"Krom",IF($V$71=TRUE,"Krom",""))))</f>
        <v/>
      </c>
      <c r="AM71" s="4" t="str">
        <f>IF($S$71=TRUE,"NS-EN 15251:2007 (tillegg C)","")</f>
        <v/>
      </c>
      <c r="AN71" s="4" t="str">
        <f>IF($S$71=TRUE,"ISO 16000-9 med ISO 16000-6 og ISO 16000-3. Prøving og beregning i samsvar med EN 16516.","")</f>
        <v/>
      </c>
      <c r="AO71" s="4" t="str">
        <f>IF($T$71=TRUE,"5.",IF($U$71=TRUE,"5.",IF(V71=TRUE,"5.","")))</f>
        <v/>
      </c>
      <c r="AP71" s="4" t="str">
        <f>IF($T$71=TRUE,"Oktyl-nonylfenoler",IF($U$71=TRUE,"Oktyl-nonylfenoler",IF($V$71=TRUE,"Oktyl-nonylfenol","")))</f>
        <v/>
      </c>
      <c r="AQ71" s="4"/>
      <c r="AR71" s="4"/>
      <c r="AS71" s="4" t="str">
        <f>IF($T$71=TRUE,"6.",IF($U$71=TRUE,"6.",IF(V71=TRUE,"6.","")))</f>
        <v/>
      </c>
      <c r="AT71" s="4" t="str">
        <f>IF($T$71=TRUE,"Siloksan (D4 og D5)",IF($U$71=TRUE,"Siloksan (D5)",IF($V$71=TRUE,"Siloksan (D4/D5)","")))</f>
        <v/>
      </c>
      <c r="AU71" s="4"/>
      <c r="AV71" s="4"/>
      <c r="AW71" s="4" t="str">
        <f>IF($T$71=TRUE,"7.",IF($U$71=TRUE,"7.",""))</f>
        <v/>
      </c>
      <c r="AX71" s="4" t="str">
        <f>IF($T$71=TRUE,"Kadmium ¹⁾",IF($U$71=TRUE,"Kadmium ¹⁾",""))</f>
        <v/>
      </c>
      <c r="AY71" s="4"/>
      <c r="AZ71" s="4"/>
      <c r="BA71" s="4" t="str">
        <f>IF($T$71=TRUE,"8.",IF($U$71=TRUE,"8.",""))</f>
        <v/>
      </c>
      <c r="BB71" s="4" t="str">
        <f>IF($T$71=TRUE,"Bly",IF($U$71=TRUE,"Bly",""))</f>
        <v/>
      </c>
      <c r="BC71" s="4"/>
      <c r="BD71" s="4"/>
      <c r="BE71" s="4" t="str">
        <f>IF($T$71=TRUE,"9.","")</f>
        <v/>
      </c>
      <c r="BF71" s="4" t="str">
        <f>IF($T$71=TRUE,"Tris(2-kloretyl)fosfat (TCEP)","")</f>
        <v/>
      </c>
      <c r="BG71" s="4"/>
      <c r="BH71" s="4"/>
      <c r="BI71" s="4"/>
      <c r="BJ71" s="4"/>
      <c r="BK71" s="4"/>
      <c r="BL71" s="4"/>
      <c r="BM71" s="4"/>
      <c r="BN71" s="4"/>
      <c r="BO71" s="4"/>
      <c r="BP71" s="3" t="b">
        <f>OR(T71,U71)</f>
        <v>0</v>
      </c>
      <c r="BQ71" s="3"/>
      <c r="BR71" s="3"/>
      <c r="BS71" s="3"/>
      <c r="BT71" s="3"/>
      <c r="BU71" s="106"/>
      <c r="BV71" s="106"/>
      <c r="BW71" s="106"/>
      <c r="BX71" s="106"/>
      <c r="BY71" s="106"/>
      <c r="BZ71" s="106"/>
      <c r="CA71" s="106"/>
      <c r="CB71" s="106"/>
      <c r="CC71" s="106"/>
      <c r="CD71" s="106"/>
      <c r="CE71" s="106"/>
      <c r="CF71" s="106"/>
      <c r="CG71" s="106"/>
      <c r="CH71" s="106"/>
      <c r="CI71" s="106"/>
      <c r="CJ71" s="106"/>
      <c r="CK71" s="106"/>
      <c r="CL71" s="106"/>
      <c r="CM71" s="106"/>
      <c r="CN71" s="106"/>
      <c r="CO71" s="106"/>
      <c r="CP71" s="106"/>
      <c r="CQ71" s="106"/>
      <c r="CR71" s="106"/>
      <c r="CS71" s="106"/>
      <c r="CT71" s="106"/>
      <c r="CU71" s="106"/>
      <c r="CV71" s="106"/>
      <c r="CW71" s="106"/>
      <c r="CX71" s="106"/>
      <c r="CY71" s="106"/>
      <c r="CZ71" s="106"/>
      <c r="DA71" s="106"/>
      <c r="DB71" s="106"/>
      <c r="DC71" s="106"/>
      <c r="DD71" s="106"/>
      <c r="DE71" s="106"/>
      <c r="DF71" s="106"/>
      <c r="DG71" s="106"/>
      <c r="DH71" s="106"/>
      <c r="DI71" s="106"/>
      <c r="DJ71" s="106"/>
      <c r="DK71" s="106"/>
      <c r="DL71" s="106"/>
      <c r="DM71" s="106"/>
      <c r="DN71" s="106"/>
      <c r="DO71" s="106"/>
      <c r="DP71" s="106"/>
      <c r="DQ71" s="106"/>
      <c r="DR71" s="106"/>
      <c r="DS71" s="106"/>
      <c r="DT71" s="106"/>
      <c r="DU71" s="106"/>
      <c r="DV71" s="106"/>
      <c r="DW71" s="106"/>
      <c r="DX71" s="106"/>
      <c r="DY71" s="106"/>
      <c r="DZ71" s="106"/>
      <c r="EA71" s="106"/>
      <c r="EB71" s="106"/>
      <c r="EC71" s="106"/>
      <c r="ED71" s="106"/>
      <c r="EE71" s="106"/>
      <c r="EF71" s="106"/>
      <c r="EG71" s="106"/>
    </row>
    <row r="72" spans="1:137" s="2" customFormat="1" ht="15" hidden="1" customHeight="1">
      <c r="A72" s="3"/>
      <c r="B72" s="3"/>
      <c r="C72" s="3"/>
      <c r="D72" s="8"/>
      <c r="E72" s="8"/>
      <c r="F72" s="8"/>
      <c r="G72" s="8"/>
      <c r="H72" s="8"/>
      <c r="I72" s="8"/>
      <c r="J72" s="8"/>
      <c r="K72" s="3"/>
      <c r="L72" s="8"/>
      <c r="M72" s="8"/>
      <c r="N72" s="9"/>
      <c r="O72" s="9"/>
      <c r="P72" s="2">
        <v>12</v>
      </c>
      <c r="Q72" s="13" t="str">
        <f>IF(AND(V5=3,R48=2),"Maling, beis og lakk","-")</f>
        <v>-</v>
      </c>
      <c r="R72" s="3" t="b">
        <f>IF(R67=TRUE,FALSE,OR(R62:R70))</f>
        <v>0</v>
      </c>
      <c r="T72" s="3"/>
      <c r="U72" s="3"/>
      <c r="V72" s="41" t="b">
        <f>IF(AND($V$5=3,$R$48=2,$R$52=2,$R$60=12),TRUE,FALSE)</f>
        <v>0</v>
      </c>
      <c r="W72" s="7" t="str">
        <f>IF(V72=TRUE,"maling, beis og lakk","")</f>
        <v/>
      </c>
      <c r="X72" s="7" t="str">
        <f>IF(V72=TRUE,"1.","")</f>
        <v/>
      </c>
      <c r="Y72" s="7" t="str">
        <f>IF($V$72=TRUE,"Bisfenol A","")</f>
        <v/>
      </c>
      <c r="Z72" s="7"/>
      <c r="AA72" s="7"/>
      <c r="AB72" s="4" t="str">
        <f>IF(V72=TRUE,"2.","")</f>
        <v/>
      </c>
      <c r="AC72" s="4" t="str">
        <f>IF($V$72=TRUE,"Bly","")</f>
        <v/>
      </c>
      <c r="AD72" s="4"/>
      <c r="AE72" s="3"/>
      <c r="AF72" s="4" t="str">
        <f>IF(V72=TRUE,"3.","")</f>
        <v/>
      </c>
      <c r="AG72" s="4" t="str">
        <f>IF($V$72=TRUE,"Klorerte parafiner","")</f>
        <v/>
      </c>
      <c r="AH72" s="4"/>
      <c r="AI72" s="4"/>
      <c r="AJ72" s="4"/>
      <c r="AK72" s="4" t="str">
        <f>IF(V72=TRUE,"4.","")</f>
        <v/>
      </c>
      <c r="AL72" s="4" t="str">
        <f>IF($V$72=TRUE,"Kadmium ¹⁾","")</f>
        <v/>
      </c>
      <c r="AM72" s="4"/>
      <c r="AN72" s="4"/>
      <c r="AO72" s="4" t="str">
        <f>IF(V72=TRUE,"5.","")</f>
        <v/>
      </c>
      <c r="AP72" s="4" t="str">
        <f>IF($V$72=TRUE,"Oktyl-nonylfenol","")</f>
        <v/>
      </c>
      <c r="AQ72" s="4"/>
      <c r="AR72" s="4"/>
      <c r="AS72" s="4" t="str">
        <f>IF(V72=TRUE,"6.","")</f>
        <v/>
      </c>
      <c r="AT72" s="4" t="str">
        <f>IF($V$72=TRUE,"Siloksan (D4/D5)","")</f>
        <v/>
      </c>
      <c r="AU72" s="4"/>
      <c r="AV72" s="4"/>
      <c r="AW72" s="4" t="str">
        <f>IF(V72=TRUE,"7.","")</f>
        <v/>
      </c>
      <c r="AX72" s="4" t="str">
        <f>IF($V$72=TRUE,"Krom","")</f>
        <v/>
      </c>
      <c r="AY72" s="4"/>
      <c r="AZ72" s="4"/>
      <c r="BA72" s="4" t="str">
        <f>IF(V72=TRUE,"8.","")</f>
        <v/>
      </c>
      <c r="BB72" s="4" t="str">
        <f>IF($V$72=TRUE,"PFOS/PFOA/PFCA ²⁾","")</f>
        <v/>
      </c>
      <c r="BC72" s="4"/>
      <c r="BD72" s="4"/>
      <c r="BE72" s="4" t="str">
        <f>IF(V72=TRUE,"9.","")</f>
        <v/>
      </c>
      <c r="BF72" s="4" t="str">
        <f>IF($V$72=TRUE,"Ftalater (DEHP)","")</f>
        <v/>
      </c>
      <c r="BG72" s="4"/>
      <c r="BH72" s="4"/>
      <c r="BI72" s="4"/>
      <c r="BJ72" s="4"/>
      <c r="BK72" s="4"/>
      <c r="BL72" s="4"/>
      <c r="BM72" s="4"/>
      <c r="BN72" s="4"/>
      <c r="BO72" s="4"/>
      <c r="BP72" s="3"/>
      <c r="BQ72" s="3"/>
      <c r="BR72" s="3"/>
      <c r="BS72" s="3"/>
      <c r="BT72" s="3"/>
      <c r="BU72" s="106"/>
      <c r="BV72" s="106"/>
      <c r="BW72" s="106"/>
      <c r="BX72" s="106"/>
      <c r="BY72" s="106"/>
      <c r="BZ72" s="106"/>
      <c r="CA72" s="106"/>
      <c r="CB72" s="106"/>
      <c r="CC72" s="106"/>
      <c r="CD72" s="106"/>
      <c r="CE72" s="106"/>
      <c r="CF72" s="106"/>
      <c r="CG72" s="106"/>
      <c r="CH72" s="106"/>
      <c r="CI72" s="106"/>
      <c r="CJ72" s="106"/>
      <c r="CK72" s="106"/>
      <c r="CL72" s="106"/>
      <c r="CM72" s="106"/>
      <c r="CN72" s="106"/>
      <c r="CO72" s="106"/>
      <c r="CP72" s="106"/>
      <c r="CQ72" s="106"/>
      <c r="CR72" s="106"/>
      <c r="CS72" s="106"/>
      <c r="CT72" s="106"/>
      <c r="CU72" s="106"/>
      <c r="CV72" s="106"/>
      <c r="CW72" s="106"/>
      <c r="CX72" s="106"/>
      <c r="CY72" s="106"/>
      <c r="CZ72" s="106"/>
      <c r="DA72" s="106"/>
      <c r="DB72" s="106"/>
      <c r="DC72" s="106"/>
      <c r="DD72" s="106"/>
      <c r="DE72" s="106"/>
      <c r="DF72" s="106"/>
      <c r="DG72" s="106"/>
      <c r="DH72" s="106"/>
      <c r="DI72" s="106"/>
      <c r="DJ72" s="106"/>
      <c r="DK72" s="106"/>
      <c r="DL72" s="106"/>
      <c r="DM72" s="106"/>
      <c r="DN72" s="106"/>
      <c r="DO72" s="106"/>
      <c r="DP72" s="106"/>
      <c r="DQ72" s="106"/>
      <c r="DR72" s="106"/>
      <c r="DS72" s="106"/>
      <c r="DT72" s="106"/>
      <c r="DU72" s="106"/>
      <c r="DV72" s="106"/>
      <c r="DW72" s="106"/>
      <c r="DX72" s="106"/>
      <c r="DY72" s="106"/>
      <c r="DZ72" s="106"/>
      <c r="EA72" s="106"/>
      <c r="EB72" s="106"/>
      <c r="EC72" s="106"/>
      <c r="ED72" s="106"/>
      <c r="EE72" s="106"/>
      <c r="EF72" s="106"/>
      <c r="EG72" s="106"/>
    </row>
    <row r="73" spans="1:137" ht="15" customHeight="1" thickBot="1">
      <c r="A73" s="14"/>
      <c r="B73" s="57"/>
      <c r="C73" s="51" t="s">
        <v>26</v>
      </c>
      <c r="D73" s="57"/>
      <c r="E73" s="57"/>
      <c r="F73" s="57"/>
      <c r="G73" s="57"/>
      <c r="H73" s="57"/>
      <c r="I73" s="57"/>
      <c r="J73" s="57"/>
      <c r="K73" s="57"/>
      <c r="L73" s="57"/>
      <c r="M73" s="57"/>
      <c r="N73" s="57"/>
      <c r="O73" s="57"/>
      <c r="P73" s="57"/>
      <c r="Q73" s="57"/>
      <c r="R73" s="57"/>
      <c r="S73" s="57"/>
      <c r="W73" s="28" t="str">
        <f>CONCATENATE(W62,W63,W64,W65,W66,W67,W68,W69,W70,W71,W72)</f>
        <v/>
      </c>
      <c r="X73" s="28" t="str">
        <f t="shared" ref="X73:BL73" si="1">CONCATENATE(X62,X63,X64,X65,X66,X67,X68,X69,X70,X71,X72)</f>
        <v/>
      </c>
      <c r="Y73" s="28" t="str">
        <f t="shared" si="1"/>
        <v/>
      </c>
      <c r="Z73" s="28" t="str">
        <f t="shared" si="1"/>
        <v/>
      </c>
      <c r="AA73" s="28" t="str">
        <f>CONCATENATE(AA62,AA63,AA64,AA65,AA66,AA67,AA68,AA69,AA70,AA71,AA72)</f>
        <v/>
      </c>
      <c r="AB73" s="28" t="str">
        <f t="shared" si="1"/>
        <v/>
      </c>
      <c r="AC73" s="28" t="str">
        <f t="shared" si="1"/>
        <v/>
      </c>
      <c r="AD73" s="28" t="str">
        <f t="shared" si="1"/>
        <v/>
      </c>
      <c r="AE73" s="28" t="str">
        <f t="shared" si="1"/>
        <v/>
      </c>
      <c r="AF73" s="28" t="str">
        <f t="shared" si="1"/>
        <v/>
      </c>
      <c r="AG73" s="28" t="str">
        <f t="shared" si="1"/>
        <v/>
      </c>
      <c r="AH73" s="28" t="str">
        <f t="shared" si="1"/>
        <v/>
      </c>
      <c r="AI73" s="28" t="str">
        <f t="shared" si="1"/>
        <v/>
      </c>
      <c r="AJ73" s="28"/>
      <c r="AK73" s="28" t="str">
        <f t="shared" si="1"/>
        <v/>
      </c>
      <c r="AL73" s="28" t="str">
        <f t="shared" si="1"/>
        <v/>
      </c>
      <c r="AM73" s="28" t="str">
        <f t="shared" si="1"/>
        <v/>
      </c>
      <c r="AN73" s="28" t="str">
        <f t="shared" si="1"/>
        <v/>
      </c>
      <c r="AO73" s="28" t="str">
        <f t="shared" si="1"/>
        <v/>
      </c>
      <c r="AP73" s="28" t="str">
        <f t="shared" si="1"/>
        <v/>
      </c>
      <c r="AQ73" s="28" t="str">
        <f t="shared" si="1"/>
        <v/>
      </c>
      <c r="AR73" s="28" t="str">
        <f t="shared" si="1"/>
        <v/>
      </c>
      <c r="AS73" s="28" t="str">
        <f t="shared" si="1"/>
        <v/>
      </c>
      <c r="AT73" s="28" t="str">
        <f t="shared" si="1"/>
        <v/>
      </c>
      <c r="AU73" s="28" t="str">
        <f t="shared" si="1"/>
        <v/>
      </c>
      <c r="AV73" s="28" t="str">
        <f>CONCATENATE(AV62,AV63,AV64,AV65,AV66,AV67,AV68,AV69,AV70,AV71,AV72)</f>
        <v/>
      </c>
      <c r="AW73" s="28" t="str">
        <f t="shared" si="1"/>
        <v/>
      </c>
      <c r="AX73" s="28" t="str">
        <f t="shared" si="1"/>
        <v/>
      </c>
      <c r="AY73" s="28" t="str">
        <f t="shared" si="1"/>
        <v/>
      </c>
      <c r="AZ73" s="28" t="str">
        <f>CONCATENATE(AZ62,AZ63,AZ64,AZ65,AZ66,AZ67,AZ68,AZ69,AZ70,AZ71,AZ72)</f>
        <v/>
      </c>
      <c r="BA73" s="28" t="str">
        <f t="shared" si="1"/>
        <v/>
      </c>
      <c r="BB73" s="28" t="str">
        <f t="shared" si="1"/>
        <v/>
      </c>
      <c r="BC73" s="28" t="str">
        <f t="shared" si="1"/>
        <v/>
      </c>
      <c r="BD73" s="28" t="str">
        <f t="shared" si="1"/>
        <v/>
      </c>
      <c r="BE73" s="28" t="str">
        <f t="shared" si="1"/>
        <v/>
      </c>
      <c r="BF73" s="28" t="str">
        <f t="shared" si="1"/>
        <v/>
      </c>
      <c r="BG73" s="28" t="str">
        <f t="shared" si="1"/>
        <v/>
      </c>
      <c r="BH73" s="28" t="str">
        <f t="shared" si="1"/>
        <v/>
      </c>
      <c r="BI73" s="28" t="str">
        <f t="shared" si="1"/>
        <v/>
      </c>
      <c r="BJ73" s="28" t="str">
        <f t="shared" si="1"/>
        <v/>
      </c>
      <c r="BK73" s="28" t="str">
        <f t="shared" si="1"/>
        <v/>
      </c>
      <c r="BL73" s="28" t="str">
        <f t="shared" si="1"/>
        <v/>
      </c>
      <c r="BM73" s="4" t="str">
        <f>CONCATENATE(BM62,BM63,BM64,BM65,BM66,BM67,BM68,BM69,BM70)</f>
        <v/>
      </c>
      <c r="BN73" s="4" t="str">
        <f>CONCATENATE(BN62,BN63,BN64,BN65,BN66,BN67,BN68,BN69,BN70)</f>
        <v/>
      </c>
      <c r="BO73" s="4" t="str">
        <f>CONCATENATE(BO62,BO63,BO64,BO65,BO66,BO67,BO68,BO69,BO70)</f>
        <v/>
      </c>
      <c r="BU73" s="44"/>
      <c r="BV73" s="44"/>
      <c r="BW73" s="44"/>
      <c r="BX73" s="44"/>
      <c r="BY73" s="44"/>
      <c r="BZ73" s="44"/>
      <c r="CA73" s="44"/>
      <c r="CB73" s="44"/>
      <c r="CC73" s="44"/>
      <c r="CD73" s="44"/>
      <c r="CE73" s="44"/>
      <c r="CF73" s="44"/>
      <c r="CG73" s="44"/>
      <c r="CH73" s="44"/>
      <c r="CI73" s="44"/>
      <c r="CJ73" s="44"/>
      <c r="CK73" s="44"/>
      <c r="CL73" s="44"/>
      <c r="CM73" s="44"/>
      <c r="CN73" s="44"/>
      <c r="CO73" s="44"/>
      <c r="CP73" s="44"/>
      <c r="CQ73" s="44"/>
      <c r="CR73" s="44"/>
      <c r="CS73" s="44"/>
      <c r="CT73" s="44"/>
      <c r="CU73" s="44"/>
      <c r="CV73" s="44"/>
      <c r="CW73" s="44"/>
      <c r="CX73" s="44"/>
      <c r="CY73" s="44"/>
      <c r="CZ73" s="44"/>
      <c r="DA73" s="44"/>
      <c r="DB73" s="44"/>
      <c r="DC73" s="44"/>
      <c r="DD73" s="44"/>
      <c r="DE73" s="44"/>
      <c r="DF73" s="44"/>
      <c r="DG73" s="44"/>
      <c r="DH73" s="44"/>
      <c r="DI73" s="44"/>
      <c r="DJ73" s="44"/>
      <c r="DK73" s="44"/>
      <c r="DL73" s="44"/>
      <c r="DM73" s="44"/>
      <c r="DN73" s="44"/>
      <c r="DO73" s="44"/>
      <c r="DP73" s="44"/>
      <c r="DQ73" s="44"/>
      <c r="DR73" s="44"/>
      <c r="DS73" s="44"/>
      <c r="DT73" s="44"/>
      <c r="DU73" s="44"/>
      <c r="DV73" s="44"/>
      <c r="DW73" s="44"/>
      <c r="DX73" s="44"/>
      <c r="DY73" s="44"/>
      <c r="DZ73" s="44"/>
      <c r="EA73" s="44"/>
      <c r="EB73" s="44"/>
      <c r="EC73" s="44"/>
      <c r="ED73" s="44"/>
      <c r="EE73" s="44"/>
      <c r="EF73" s="44"/>
      <c r="EG73" s="44"/>
    </row>
    <row r="74" spans="1:137" ht="15" customHeight="1">
      <c r="A74" s="14"/>
      <c r="B74" s="57"/>
      <c r="C74" s="207"/>
      <c r="D74" s="208"/>
      <c r="E74" s="208"/>
      <c r="F74" s="208"/>
      <c r="G74" s="209"/>
      <c r="H74" s="57"/>
      <c r="I74" s="216" t="str">
        <f>IF(OR(V5=1,R48=1,R52=1),"",IF(R67=TRUE,"For deklarering av maling og lakk, se egen tabell nederst i dokumentet. 
Velg «Til deklarering» når dokumentasjonskravene er bekreftet.",IF(W43="","",W43)))</f>
        <v/>
      </c>
      <c r="J74" s="216"/>
      <c r="K74" s="216"/>
      <c r="L74" s="216"/>
      <c r="M74" s="216"/>
      <c r="N74" s="216"/>
      <c r="O74" s="216"/>
      <c r="P74" s="216"/>
      <c r="Q74" s="216"/>
      <c r="R74" s="216"/>
      <c r="S74" s="57"/>
      <c r="W74" s="7" t="str">
        <f>IF($R$62=TRUE,"fugemasser",IF($S$62=TRUE,"maling og lakk",IF(T62=TRUE,"bygningsplater",IF(U62=TRUE,"bygningsplater",IF(V62=TRUE,"bygningsplater","")))))</f>
        <v/>
      </c>
      <c r="X74" s="7" t="str">
        <f>IF($R$62=TRUE,"1.",IF($S$62=TRUE,"A1.",IF($T$62=TRUE,"1.",IF(U62=TRUE,"1.",IF(V62=TRUE,"1.","")))))</f>
        <v/>
      </c>
      <c r="Y74" s="7" t="str">
        <f>IF($R$62=TRUE,"Produktet har en emisjonstest som viser at emisjoner av TVOC er under 0,2 mg/m²h",IF($S$62=TRUE,"Innendørsmaling og -lakk som anvendes på stedet og defineres som kategori a, b, d, e, g, h, i, j, k eller ifølge vedlegg I til direktiv 2004/42/EF, oppfyller øvre grenseverdier for VOC-innhold som definert i vedlegg II/A",IF(T62=TRUE,"Arsen",IF(U62=TRUE,"Arsen",IF(V62=TRUE,"Arsen","")))))</f>
        <v/>
      </c>
      <c r="Z74" s="7" t="str">
        <f>IF($R$62=TRUE,"NS-EN 15251:2007",IF($S$62=TRUE,"1. EU-direktiv 2004/42/EF
2. NS-EN 15251:2007",""))</f>
        <v/>
      </c>
      <c r="AA74" s="152"/>
      <c r="AB74" s="4" t="str">
        <f>IF($R$62=TRUE,"2.",IF($S$62=TRUE,"A2.",IF(T62=TRUE,"2.",IF(U62=TRUE,"2.",IF(V62=TRUE,"2.","")))))</f>
        <v/>
      </c>
      <c r="AC74" s="4" t="str">
        <f>IF($R$62=TRUE,"Produktet har en emisjonstest som viser at emisjoner av formaldehyd er under 0,05 mg/m²h",IF($S$62=TRUE,"Grenseverdier for VOC-utslipp: 
Innendørsmaling og -lakk for vegg, gulv og himlinger som anvendes på stedet og defineres som kategori a, b, i eller j ifølge vedlegg til 2004/43/EF, skal oppfylle følgende utslippskriterier:",IF(T62=TRUE,"Bly",IF(U62=TRUE,"Bly",IF(V62=TRUE,"Bly","")))))</f>
        <v/>
      </c>
      <c r="AD74" s="4" t="str">
        <f>IF($R$62=TRUE,"NS-EN 15251:2007","")</f>
        <v/>
      </c>
      <c r="AE74" s="150"/>
      <c r="AF74" s="4" t="str">
        <f>IF($R$62=TRUE,"3.a",IF($S$62=TRUE,"A2.",IF(T62=TRUE,"3.",IF(U62=TRUE,"3.",IF(V62=TRUE,"3.","")))))</f>
        <v/>
      </c>
      <c r="AG74" s="4" t="str">
        <f>IF($R$62=TRUE,"Produktet har en emisjonstest som viser at emisjoner av ammoniakk er under 0,03 mg/m²h",IF($S$62=TRUE,"TVOC: 200 μg/m²h etter 28 dager, 
alternativt 417 μg/m³ etter 28 dager (vegg), 160 μg/m³ etter 28 dager (gulv og himling),",IF(T62=TRUE,"Bromerte flammehemmere (HBCDD, TBBPA)",IF(U62=TRUE,"Bromerte flammehemmere (HBCDD, TBBPA)",IF(V62=TRUE,"Bromerte flammehemmere (HBCD, TBBPA)","")))))</f>
        <v/>
      </c>
      <c r="AH74" s="4" t="str">
        <f>IF($R$62=TRUE,"NS-EN 15251:2007",IF($S$62=TRUE,"1. EU-direktiv 2004/42/EF
2. NS-EN 15251:2007",""))</f>
        <v/>
      </c>
      <c r="AI74" s="153" t="str">
        <f>IF($S$62=TRUE,"1. ISO 11890-2:2013  – Del 2:
Gasskromatografisk metode"&amp;"
2. ISO 16000-9 (eller ISO 16000-10) sammen med ISO 16000-6 (flyktige organiske forbindelser) og
ISO 16000-3 (formaldehyd)","")</f>
        <v/>
      </c>
      <c r="AJ74" s="153"/>
      <c r="AK74" s="4" t="str">
        <f>IF($R$62=TRUE,"3.b",IF($S$62=TRUE,"A3.",IF(T62=TRUE,"4.",IF(U62=TRUE,"4.",IF(V62=TRUE,"4.","")))))</f>
        <v/>
      </c>
      <c r="AL74" s="4" t="str">
        <f>IF($R$62=TRUE,"Produktet har ikke en emisjonstest som måler emisjoner av ammoniakk, men undertegnede kan bekrefte at ammoniakk ikke er sporbart aktivt i produktet, og at produktet ikke inneholder stoffer som kan avspaltes til ammoniakk",IF(S62=TRUE,"FORMALDEHYD: 62 μg/m²h etter 3 dager eller 50 μg/m²h etter 28 dager, alternativt 50 μg/m³ etter 3 dager eller 104 μg/m³ etter 28 dager (vegg)
50 μg/m³ etter 3 dager (gulv og himling),",IF($T$62=TRUE,"Ftalater (DEHP, DBP,BBP)",IF($U$62=TRUE,"Ftalater (DEHP)",IF($V$62=TRUE,"Ftalater (DEHP)","")))))</f>
        <v/>
      </c>
      <c r="AM74" s="4" t="str">
        <f>IF($S$62=TRUE,"1. EU-direktiv 2004/42/EF
2. NS-EN 15251:2007",IF($R$62=TRUE,
"EN 717-1:2004
EN 13999-2:2007
EN 13999-3:2007
EN 13999-4:2007
EN 12149:1997",IF($R$62=TRUE,"","")))</f>
        <v/>
      </c>
      <c r="AN74" s="153"/>
      <c r="AO74" s="4" t="str">
        <f>IF($R$62=TRUE,"4.",IF($S$62=TRUE,"A2.",IF(T62=TRUE,"5.",IF(U62=TRUE,"5.",IF(V62=TRUE,"5.","")))))</f>
        <v/>
      </c>
      <c r="AP74" s="4" t="str">
        <f>IF(S62=TRUE,"KREFTFREMKALLENDE: 5 μg/m²h, alternativt 10 μg/m³ (vegg), 4 μg/m³ (gulv og himling).",IF($R$62=TRUE,"Produktet har en emisjonstest som viser at emisjoner av kreftfremkallende forbindelser (IARC) er under 0,005 mg/m²h",IF(T62=TRUE,"Krom",IF(U62=TRUE,"Krom",IF(V62=TRUE,"Krom","")))))</f>
        <v/>
      </c>
      <c r="AQ74" s="4" t="str">
        <f>IF($S$62=TRUE,"1. EU-direktiv 2004/42/EF
2. NS-EN 15251:2007",IF($R$62=TRUE,"NS-EN 15251:2007",""))</f>
        <v/>
      </c>
      <c r="AR74" s="153"/>
      <c r="AS74" s="4" t="str">
        <f>IF($S$62=TRUE,"A3.",IF($R$62=TRUE,"5.",IF(T62=TRUE,"6.",IF(U62=TRUE,"6.",IF(V62=TRUE,"6.","")))))</f>
        <v/>
      </c>
      <c r="AT74" s="4" t="str">
        <f>IF($S$62=TRUE,"Bekreftelse med teknisk datablad eller vedlikeholds-
dokumentasjon på at malingen er sopp- og alge-
bestandig for våtrom som bad, kjøkken og vaskerom",IF($R$62=TRUE,"Produktet har en emisjonstest som viser at misnøye med lukt er under 15%.",IF(T62=TRUE,"Oktyl-/nonylfenoler",IF(U62=TRUE,"Oktyl-/nonylfenoler",IF(V62=TRUE,"Oktyl-/nonylfenol","")))))</f>
        <v/>
      </c>
      <c r="AU74" s="4" t="str">
        <f>IF($R$62=TRUE,"NS-EN 15251:2007","")</f>
        <v/>
      </c>
      <c r="AV74" s="153"/>
      <c r="AW74" s="4" t="str">
        <f>IF($R$62=TRUE,"6.",IF($T$62=TRUE,"7.",IF($U$62=TRUE,"7.","")))</f>
        <v/>
      </c>
      <c r="AX74" s="4" t="str">
        <f>IF($R$62=TRUE,"Testene i punkt 1 – 5 er utført iht. ISO 16000-serien med målinger gjort etter 28 dager",IF($T$62=TRUE,"Bisfenol A",IF($U$62=TRUE,"Bisfenol A","")))</f>
        <v/>
      </c>
      <c r="AY74" s="4" t="str">
        <f>IF($R$62=TRUE,"ISO 16000","")</f>
        <v/>
      </c>
      <c r="AZ74" s="4"/>
      <c r="BA74" s="4"/>
      <c r="BB74" s="4"/>
      <c r="BC74" s="4"/>
      <c r="BD74" s="4"/>
      <c r="BE74" s="4"/>
      <c r="BF74" s="4"/>
      <c r="BG74" s="4"/>
      <c r="BH74" s="4"/>
      <c r="BI74" s="4"/>
      <c r="BJ74" s="4"/>
      <c r="BK74" s="4"/>
      <c r="BL74" s="4"/>
      <c r="BM74" s="4"/>
      <c r="BN74" s="4"/>
      <c r="BO74" s="4"/>
      <c r="BU74" s="44"/>
      <c r="BV74" s="44"/>
      <c r="BW74" s="44"/>
      <c r="BX74" s="44"/>
      <c r="BY74" s="44"/>
      <c r="BZ74" s="44"/>
      <c r="CA74" s="44"/>
      <c r="CB74" s="44"/>
      <c r="CC74" s="44"/>
      <c r="CD74" s="44"/>
      <c r="CE74" s="44"/>
      <c r="CF74" s="44"/>
      <c r="CG74" s="44"/>
      <c r="CH74" s="44"/>
      <c r="CI74" s="44"/>
      <c r="CJ74" s="44"/>
      <c r="CK74" s="44"/>
      <c r="CL74" s="44"/>
      <c r="CM74" s="44"/>
      <c r="CN74" s="44"/>
      <c r="CO74" s="44"/>
      <c r="CP74" s="44"/>
      <c r="CQ74" s="44"/>
      <c r="CR74" s="44"/>
      <c r="CS74" s="44"/>
      <c r="CT74" s="44"/>
      <c r="CU74" s="44"/>
      <c r="CV74" s="44"/>
      <c r="CW74" s="44"/>
      <c r="CX74" s="44"/>
      <c r="CY74" s="44"/>
      <c r="CZ74" s="44"/>
      <c r="DA74" s="44"/>
      <c r="DB74" s="44"/>
      <c r="DC74" s="44"/>
      <c r="DD74" s="44"/>
      <c r="DE74" s="44"/>
      <c r="DF74" s="44"/>
      <c r="DG74" s="44"/>
      <c r="DH74" s="44"/>
      <c r="DI74" s="44"/>
      <c r="DJ74" s="44"/>
      <c r="DK74" s="44"/>
      <c r="DL74" s="44"/>
      <c r="DM74" s="44"/>
      <c r="DN74" s="44"/>
      <c r="DO74" s="44"/>
      <c r="DP74" s="44"/>
      <c r="DQ74" s="44"/>
      <c r="DR74" s="44"/>
      <c r="DS74" s="44"/>
      <c r="DT74" s="44"/>
      <c r="DU74" s="44"/>
      <c r="DV74" s="44"/>
      <c r="DW74" s="44"/>
      <c r="DX74" s="44"/>
      <c r="DY74" s="44"/>
      <c r="DZ74" s="44"/>
      <c r="EA74" s="44"/>
      <c r="EB74" s="44"/>
      <c r="EC74" s="44"/>
      <c r="ED74" s="44"/>
      <c r="EE74" s="44"/>
      <c r="EF74" s="44"/>
      <c r="EG74" s="44"/>
    </row>
    <row r="75" spans="1:137" ht="15" customHeight="1">
      <c r="A75" s="14"/>
      <c r="B75" s="57"/>
      <c r="C75" s="210"/>
      <c r="D75" s="211"/>
      <c r="E75" s="211"/>
      <c r="F75" s="211"/>
      <c r="G75" s="212"/>
      <c r="H75" s="57"/>
      <c r="I75" s="216"/>
      <c r="J75" s="216"/>
      <c r="K75" s="216"/>
      <c r="L75" s="216"/>
      <c r="M75" s="216"/>
      <c r="N75" s="216"/>
      <c r="O75" s="216"/>
      <c r="P75" s="216"/>
      <c r="Q75" s="216"/>
      <c r="R75" s="216"/>
      <c r="S75" s="57"/>
      <c r="W75" s="7" t="str">
        <f>IF(R63=TRUE,"halvharde gulvbelegg, tekstile gulvbelegg og laminatgulv",IF(S63=TRUE,"treplater",IF(T63=TRUE,"tapeter",IF(U63=TRUE,"tapeter",IF(V63=TRUE,"gulvbelegg i vinyl eller PVC","")))))</f>
        <v/>
      </c>
      <c r="X75" s="7" t="str">
        <f>IF($R$63=TRUE,"1.a",IF($S$63=TRUE,"B1.",IF(T63=TRUE,"1.",IF(U63=TRUE,"1.",IF(V63=TRUE,"1.","")))))</f>
        <v/>
      </c>
      <c r="Y75" s="7" t="str">
        <f>IF($R$63=TRUE,"Produktet kan klassifiseres som E1 iht. testmetode EN 717-1:2004",IF($S$63=TRUE,"1. Formaldehyd E1-nivå
2. TVOC: 200 μg/m²h (tilsvarer 417 μg/m³ for vegg-
produkter), kreftfremkallende: 5 μg/m²h (tilsvarer 10 μg/m³ for veggprodukter) etter 28 dager.",IF(T63=TRUE,"Arsen",IF(U63=TRUE,"Arsen",IF(V63=TRUE,"Ftalater (DEHP)","")))))</f>
        <v/>
      </c>
      <c r="Z75" s="7" t="str">
        <f>IF($R$63=TRUE,"EN 14041:2004
EN 717-1:2004",IF($S$63=TRUE,"EN 717-1:2004, EN 717-2:1994, EN 120:1992, ISO 16000-9/ISO 16000-6 (VOC). 
Prøving og beregning iht. EN 16516",""))</f>
        <v/>
      </c>
      <c r="AA75" s="152"/>
      <c r="AB75" s="4" t="str">
        <f>IF($R$63=TRUE,"1.b",IF($S$63=TRUE,"B2.",IF(T63=TRUE,"2.",IF(U63=TRUE,"2.",IF(V63=TRUE,"2.","")))))</f>
        <v/>
      </c>
      <c r="AC75" s="4" t="str">
        <f>IF($R$63=TRUE,"Undertegnede kan bekrefte at produktet ikke er tilsatt noen materialer som inneholder formaldehyd under produksjon eller ved bearbeiding etter produksjonen. Disse kan klassifiseres som E1 uten prøving",IF($S$63=TRUE,"Undertegnede bekrefter fravær av regulerte treimpregneringsmidler.",IF(T63=TRUE,"Bly",IF(U63=TRUE,"Bly",IF(V63=TRUE,"Bromerte flammehemmere (HBCD, TBBPA)","")))))</f>
        <v/>
      </c>
      <c r="AD75" s="4" t="str">
        <f>IF($R$63=TRUE,"EN 14041:2004",IF(S63=TRUE,"-",""))</f>
        <v/>
      </c>
      <c r="AE75" s="150"/>
      <c r="AF75" s="4" t="str">
        <f>IF($R$63=TRUE,"2.",IF(T63=TRUE,"3.",IF(U63=TRUE,"3.",IF(V63=TRUE,"3.",""))))</f>
        <v/>
      </c>
      <c r="AG75" s="4" t="str">
        <f>IF($R$63=TRUE,"Produktet har en emisjonstest som viser at emisjoner av TVOC er under 0,2 mg/m²h",IF(T63=TRUE,"Bromerte flammehemmere (HBCDD, TBBPA)",IF(U63=TRUE,"Bromerte flammehemmere (HBCDD, TBBPA)",IF($V$63=TRUE,"Bisfenol A",""))))</f>
        <v/>
      </c>
      <c r="AH75" s="4" t="str">
        <f>IF($R$63=TRUE,"NS-EN 15251:2007","")</f>
        <v/>
      </c>
      <c r="AI75" s="153"/>
      <c r="AJ75" s="153"/>
      <c r="AK75" s="4" t="str">
        <f>IF($R$63=TRUE,"3.",IF(T63=TRUE,"4.",IF(U63=TRUE,"4.",IF(V63=TRUE,"4.",""))))</f>
        <v/>
      </c>
      <c r="AL75" s="4" t="str">
        <f>IF($R$63=TRUE,"Produktet har ikke en emisjonstest som måler emisjoner av ammoniakk, men undertegnede kan bekrefte at ammoniakk ikke er sporbart aktivt i produktet, og at produktet ikke inneholder stoffer som kan avspaltes til ammoniakk",IF($T$63=TRUE,"Ftalater (DEHP, DBP, BBP)",IF($U$63=TRUE,"Ftalater (DEHP)",IF(V63=TRUE,"Bly",""))))</f>
        <v/>
      </c>
      <c r="AM75" s="4" t="str">
        <f>IF($R$63=TRUE,
"EN 717-1:2004
EN 13999-2:2007
EN 13999-3:2007
EN 13999-4:2007
EN 12149:1997",IF($R$62=TRUE,"",""))</f>
        <v/>
      </c>
      <c r="AN75" s="153"/>
      <c r="AO75" s="4" t="str">
        <f>IF($R$63=TRUE,"4.a",IF(T63=TRUE,"5.",IF(U63=TRUE,"5.",IF(V63=TRUE,"5.",""))))</f>
        <v/>
      </c>
      <c r="AP75" s="4" t="str">
        <f>IF($R$63=TRUE,"Produktet har en emisjonstest som viser at emisjoner av ammoniakk er under 0,03 mg/m²h",IF(T63=TRUE,"Mellomkjedede klorparafiner",IF(U63=TRUE,"Mellomkjedede klorparafiner",IF(V63=TRUE,"Mellomkjedede klorerte parafiner",""))))</f>
        <v/>
      </c>
      <c r="AQ75" s="4" t="str">
        <f>IF($R$63=TRUE,"NS-EN 15251:2007","")</f>
        <v/>
      </c>
      <c r="AR75" s="153"/>
      <c r="AS75" s="4" t="str">
        <f>IF($R$63=TRUE,"4.b",IF($V$63=TRUE,"6.",""))</f>
        <v/>
      </c>
      <c r="AT75" s="4" t="str">
        <f>IF($R$63=TRUE,"Produktet har en emisjonstest som viser at misnøye med lukt er under 15 %.",IF($V$63=TRUE,"Arsen",""))</f>
        <v/>
      </c>
      <c r="AU75" s="4" t="str">
        <f>IF($R$63=TRUE,"NS-EN 15251:2007","")</f>
        <v/>
      </c>
      <c r="AV75" s="153"/>
      <c r="AW75" s="4" t="str">
        <f>IF($R$63=TRUE,"5.","")</f>
        <v/>
      </c>
      <c r="AX75" s="4" t="str">
        <f>IF($R$63=TRUE,"Produktet har en emisjonstest som viser at emisjoner av kreftfremkallende forbindelser (IARC) er under 0,005 mg/m²h","")</f>
        <v/>
      </c>
      <c r="AY75" s="4" t="str">
        <f>IF($R$63=TRUE,"NS-EN 15251:2007","")</f>
        <v/>
      </c>
      <c r="AZ75" s="4"/>
      <c r="BA75" s="4" t="str">
        <f>IF($R$63=TRUE,"6.","")</f>
        <v/>
      </c>
      <c r="BB75" s="4" t="str">
        <f>IF($R$63=TRUE,"Produktet har en emisjonstest som viser at emisjoner av formaldehyd er under 0,05 mg/m²h","")</f>
        <v/>
      </c>
      <c r="BC75" s="4" t="str">
        <f>IF($R$63=TRUE,"NS-EN 15251:2007","")</f>
        <v/>
      </c>
      <c r="BD75" s="4"/>
      <c r="BE75" s="4" t="str">
        <f>IF($R$63=TRUE,"7.","")</f>
        <v/>
      </c>
      <c r="BF75" s="4" t="str">
        <f>IF($R$63=TRUE,"Testene i punkt 2 – 6 er utført iht. ISO 16000-serien med målinger gjort etter 28 dager","")</f>
        <v/>
      </c>
      <c r="BG75" s="4" t="str">
        <f>IF($R$63=TRUE,"ISO 16000","")</f>
        <v/>
      </c>
      <c r="BH75" s="4"/>
      <c r="BI75" s="4" t="str">
        <f>IF($R$63=TRUE,"8.","")</f>
        <v/>
      </c>
      <c r="BJ75" s="4" t="str">
        <f>IF($R$63=TRUE,"Undertegnede kan bekrefte fravær av regulerte impregneringsmidler og at minimumsnivå er overholdt","")</f>
        <v/>
      </c>
      <c r="BK75" s="4" t="str">
        <f>IF($R$63=TRUE,"EN 14041:2004","")</f>
        <v/>
      </c>
      <c r="BL75" s="4"/>
      <c r="BM75" s="4"/>
      <c r="BN75" s="4"/>
      <c r="BO75" s="4"/>
      <c r="BU75" s="44"/>
      <c r="BV75" s="44"/>
      <c r="BW75" s="44"/>
      <c r="BX75" s="44"/>
      <c r="BY75" s="44"/>
      <c r="BZ75" s="44"/>
      <c r="CA75" s="44"/>
      <c r="CB75" s="44"/>
      <c r="CC75" s="44"/>
      <c r="CD75" s="44"/>
      <c r="CE75" s="44"/>
      <c r="CF75" s="44"/>
      <c r="CG75" s="44"/>
      <c r="CH75" s="44"/>
      <c r="CI75" s="44"/>
      <c r="CJ75" s="44"/>
      <c r="CK75" s="44"/>
      <c r="CL75" s="44"/>
      <c r="CM75" s="44"/>
      <c r="CN75" s="44"/>
      <c r="CO75" s="44"/>
      <c r="CP75" s="44"/>
      <c r="CQ75" s="44"/>
      <c r="CR75" s="44"/>
      <c r="CS75" s="44"/>
      <c r="CT75" s="44"/>
      <c r="CU75" s="44"/>
      <c r="CV75" s="44"/>
      <c r="CW75" s="44"/>
      <c r="CX75" s="44"/>
      <c r="CY75" s="44"/>
      <c r="CZ75" s="44"/>
      <c r="DA75" s="44"/>
      <c r="DB75" s="44"/>
      <c r="DC75" s="44"/>
      <c r="DD75" s="44"/>
      <c r="DE75" s="44"/>
      <c r="DF75" s="44"/>
      <c r="DG75" s="44"/>
      <c r="DH75" s="44"/>
      <c r="DI75" s="44"/>
      <c r="DJ75" s="44"/>
      <c r="DK75" s="44"/>
      <c r="DL75" s="44"/>
      <c r="DM75" s="44"/>
      <c r="DN75" s="44"/>
      <c r="DO75" s="44"/>
      <c r="DP75" s="44"/>
      <c r="DQ75" s="44"/>
      <c r="DR75" s="44"/>
      <c r="DS75" s="44"/>
      <c r="DT75" s="44"/>
      <c r="DU75" s="44"/>
      <c r="DV75" s="44"/>
      <c r="DW75" s="44"/>
      <c r="DX75" s="44"/>
      <c r="DY75" s="44"/>
      <c r="DZ75" s="44"/>
      <c r="EA75" s="44"/>
      <c r="EB75" s="44"/>
      <c r="EC75" s="44"/>
      <c r="ED75" s="44"/>
      <c r="EE75" s="44"/>
      <c r="EF75" s="44"/>
      <c r="EG75" s="44"/>
    </row>
    <row r="76" spans="1:137" ht="15" customHeight="1">
      <c r="A76" s="14"/>
      <c r="B76" s="57"/>
      <c r="C76" s="210"/>
      <c r="D76" s="211"/>
      <c r="E76" s="211"/>
      <c r="F76" s="211"/>
      <c r="G76" s="212"/>
      <c r="H76" s="57"/>
      <c r="I76" s="216"/>
      <c r="J76" s="216"/>
      <c r="K76" s="216"/>
      <c r="L76" s="216"/>
      <c r="M76" s="216"/>
      <c r="N76" s="216"/>
      <c r="O76" s="216"/>
      <c r="P76" s="216"/>
      <c r="Q76" s="216"/>
      <c r="R76" s="216"/>
      <c r="S76" s="57"/>
      <c r="W76" s="7" t="str">
        <f>IF(R64=TRUE,"gulvlim",IF(S64=TRUE,"trekonstruksjoner",IF(T64=TRUE,"tepper",IF(U64=TRUE,"tepper",IF(V64=TRUE,"polykarbonatplater","")))))</f>
        <v/>
      </c>
      <c r="X76" s="7" t="str">
        <f>IF($R$64=TRUE,"1.",IF($S$64=TRUE,"C1.",IF(T64=TRUE,"1.",IF(U64=TRUE,"1.",IF($V$64=TRUE,"1.","")))))</f>
        <v/>
      </c>
      <c r="Y76" s="7" t="str">
        <f>IF($R$64=TRUE,"Produktet har en emisjonstest som viser at emisjoner av TVOC er under 0,2 mg/m²h",IF($S$64=TRUE,"1. Formaldehyd E1-nivå
2. TVOC: 200 μg/m²h (tilsvarer 417 μg/m³ for vegg-
produkter), kreftfremkallende: 5 μg/m²h (tilsvarer 10 μg/m³ for veggprodukter) etter 28 dager.",IF(T64=TRUE,"PFOS/PFOA",IF(U64=TRUE,"PFOS/PFOA",IF($V$64=TRUE,"Bisfenol A","")))))</f>
        <v/>
      </c>
      <c r="Z76" s="7" t="str">
        <f>IF($R$64=TRUE,"NS-EN 15251:2007",IF($S$64=TRUE,"EN 717-1:2004, EN 717-2:1994, EN 120:1992, ISO 16000-9 med ISO 16000-6. 
Prøving og beregning iht. EN 16516.",""))</f>
        <v/>
      </c>
      <c r="AA76" s="152"/>
      <c r="AB76" s="4" t="str">
        <f>IF($R$64=TRUE,"2.",IF($S$64=TRUE,"C2.",""))</f>
        <v/>
      </c>
      <c r="AC76" s="4" t="str">
        <f>IF($R$64=TRUE,"Produktet har en emisjonstest som viser at emisjoner av formaldehyd er under 0,05 mg/m²h",IF($S$64=TRUE,"Undertegnede bekrefter fravær av regulerte treimpregneringsmidler.",""))</f>
        <v/>
      </c>
      <c r="AD76" s="4" t="str">
        <f>IF($R$64=TRUE,"NS-EN 15251:2007",IF(S64=TRUE,"-",""))</f>
        <v/>
      </c>
      <c r="AE76" s="150"/>
      <c r="AF76" s="4" t="str">
        <f>IF($R$64=TRUE,"3.a","")</f>
        <v/>
      </c>
      <c r="AG76" s="4" t="str">
        <f>IF($R$64=TRUE,"Produktet har en emisjonstest som viser at emisjoner av ammoniakk er under 0,03 mg/m²h","")</f>
        <v/>
      </c>
      <c r="AH76" s="4" t="str">
        <f>IF($R$64=TRUE,"NS-EN 15251:2007","")</f>
        <v/>
      </c>
      <c r="AI76" s="153"/>
      <c r="AJ76" s="153"/>
      <c r="AK76" s="4" t="str">
        <f>IF($R$64=TRUE,"3.b","")</f>
        <v/>
      </c>
      <c r="AL76" s="4" t="str">
        <f>IF($R$64=TRUE,"Produktet har ikke en emisjonstest som måler emisjoner av ammoniakk, men undertegnede kan bekrefte at ammoniakk ikke er sporbart aktivt i produktet, og at produktet ikke inneholder stoffer som kan avspaltes til ammoniakk","")</f>
        <v/>
      </c>
      <c r="AM76" s="4" t="str">
        <f>IF($R$64=TRUE,
"EN 717-1:2004
EN 13999-2:2007
EN 13999-3:2007
EN 13999-4:2007
EN 12149:1997","")</f>
        <v/>
      </c>
      <c r="AN76" s="153"/>
      <c r="AO76" s="4" t="str">
        <f>IF($R$64=TRUE,"4.","")</f>
        <v/>
      </c>
      <c r="AP76" s="4" t="str">
        <f>IF($R$64=TRUE,"Produktet har en emisjonstest som viser at emisjoner av kreftfremkallende forbindelser (IARC) er under 0,005 mg/m²h","")</f>
        <v/>
      </c>
      <c r="AQ76" s="4" t="str">
        <f>IF($R$64=TRUE,"NS-EN 15251:2007","")</f>
        <v/>
      </c>
      <c r="AR76" s="153"/>
      <c r="AS76" s="4" t="str">
        <f>IF($R$64=TRUE,"5.","")</f>
        <v/>
      </c>
      <c r="AT76" s="4" t="str">
        <f>IF($R$64=TRUE,"Produktet har en emisjonstest som viser at misnøye med lukt er under 15 %.","")</f>
        <v/>
      </c>
      <c r="AU76" s="4" t="str">
        <f>IF($R$64=TRUE,"NS-EN 15251:2007","")</f>
        <v/>
      </c>
      <c r="AV76" s="153"/>
      <c r="AW76" s="4" t="str">
        <f>IF($R$64=TRUE,"6.","")</f>
        <v/>
      </c>
      <c r="AX76" s="4" t="str">
        <f>IF($R$64=TRUE,"Testene i punkt 1 – 5 er utført iht. ISO 16000-serien med målinger gjort etter 28 dager","")</f>
        <v/>
      </c>
      <c r="AY76" s="4" t="str">
        <f>IF($R$64=TRUE,"ISO 16000","")</f>
        <v/>
      </c>
      <c r="AZ76" s="4"/>
      <c r="BA76" s="4" t="str">
        <f>IF($R$64=TRUE,"7.","")</f>
        <v/>
      </c>
      <c r="BB76" s="4" t="str">
        <f>IF($R$64=TRUE,"Produktet har utført tester iht. EN 13999-2/3/4:2007, og kan bekrefte fravær av kreft- og allergifremkallende stoffer","")</f>
        <v/>
      </c>
      <c r="BC76" s="4" t="str">
        <f>IF($R$64=TRUE,"EN 13999-1 :2007, EN 13999-2:2007, 
EN 13999-3:2007, EN 13999-4:2007","")</f>
        <v/>
      </c>
      <c r="BD76" s="4"/>
      <c r="BE76" s="4"/>
      <c r="BF76" s="4"/>
      <c r="BG76" s="4"/>
      <c r="BH76" s="4"/>
      <c r="BI76" s="4"/>
      <c r="BJ76" s="4"/>
      <c r="BK76" s="4"/>
      <c r="BL76" s="4"/>
      <c r="BM76" s="4"/>
      <c r="BN76" s="4"/>
      <c r="BO76" s="4"/>
      <c r="BU76" s="44"/>
      <c r="BV76" s="44"/>
      <c r="BW76" s="44"/>
      <c r="BX76" s="44"/>
      <c r="BY76" s="44"/>
      <c r="BZ76" s="44"/>
      <c r="CA76" s="44"/>
      <c r="CB76" s="44"/>
      <c r="CC76" s="44"/>
      <c r="CD76" s="44"/>
      <c r="CE76" s="44"/>
      <c r="CF76" s="44"/>
      <c r="CG76" s="44"/>
      <c r="CH76" s="44"/>
      <c r="CI76" s="44"/>
      <c r="CJ76" s="44"/>
      <c r="CK76" s="44"/>
      <c r="CL76" s="44"/>
      <c r="CM76" s="44"/>
      <c r="CN76" s="44"/>
      <c r="CO76" s="44"/>
      <c r="CP76" s="44"/>
      <c r="CQ76" s="44"/>
      <c r="CR76" s="44"/>
      <c r="CS76" s="44"/>
      <c r="CT76" s="44"/>
      <c r="CU76" s="44"/>
      <c r="CV76" s="44"/>
      <c r="CW76" s="44"/>
      <c r="CX76" s="44"/>
      <c r="CY76" s="44"/>
      <c r="CZ76" s="44"/>
      <c r="DA76" s="44"/>
      <c r="DB76" s="44"/>
      <c r="DC76" s="44"/>
      <c r="DD76" s="44"/>
      <c r="DE76" s="44"/>
      <c r="DF76" s="44"/>
      <c r="DG76" s="44"/>
      <c r="DH76" s="44"/>
      <c r="DI76" s="44"/>
      <c r="DJ76" s="44"/>
      <c r="DK76" s="44"/>
      <c r="DL76" s="44"/>
      <c r="DM76" s="44"/>
      <c r="DN76" s="44"/>
      <c r="DO76" s="44"/>
      <c r="DP76" s="44"/>
      <c r="DQ76" s="44"/>
      <c r="DR76" s="44"/>
      <c r="DS76" s="44"/>
      <c r="DT76" s="44"/>
      <c r="DU76" s="44"/>
      <c r="DV76" s="44"/>
      <c r="DW76" s="44"/>
      <c r="DX76" s="44"/>
      <c r="DY76" s="44"/>
      <c r="DZ76" s="44"/>
      <c r="EA76" s="44"/>
      <c r="EB76" s="44"/>
      <c r="EC76" s="44"/>
      <c r="ED76" s="44"/>
      <c r="EE76" s="44"/>
      <c r="EF76" s="44"/>
      <c r="EG76" s="44"/>
    </row>
    <row r="77" spans="1:137" ht="15" customHeight="1" thickBot="1">
      <c r="A77" s="14"/>
      <c r="B77" s="57"/>
      <c r="C77" s="213"/>
      <c r="D77" s="214"/>
      <c r="E77" s="214"/>
      <c r="F77" s="214"/>
      <c r="G77" s="215"/>
      <c r="H77" s="57"/>
      <c r="I77" s="216"/>
      <c r="J77" s="216"/>
      <c r="K77" s="216"/>
      <c r="L77" s="216"/>
      <c r="M77" s="216"/>
      <c r="N77" s="216"/>
      <c r="O77" s="216"/>
      <c r="P77" s="216"/>
      <c r="Q77" s="216"/>
      <c r="R77" s="216"/>
      <c r="S77" s="57"/>
      <c r="U77" s="3" t="s">
        <v>110</v>
      </c>
      <c r="W77" s="7" t="str">
        <f>IF(R65=TRUE,"himlingsplater",IF(S65=TRUE,"tregulv og parkett",IF(T65=TRUE,"trevirke",IF(U65=TRUE,"trevirke",IF(V65=TRUE,"tapeter","")))))</f>
        <v/>
      </c>
      <c r="X77" s="7" t="str">
        <f>IF($R$65=TRUE,"1.a",IF($S$65=TRUE,"D1.",IF(T65=TRUE,"1.",IF(U65=TRUE,"1.",IF($V$65=TRUE,"1.","")))))</f>
        <v/>
      </c>
      <c r="Y77" s="7" t="str">
        <f>IF($R$65=TRUE,"Produktet kan klassifiseres som E1 iht. testmetode EN 717-1:2004",IF($S$65=TRUE,"Grenseverdier for utslipp for alle produkter unntatt ubehandlet heltregulv:",IF($T$65=TRUE,"Kreosot",IF($U$65=TRUE,"Kreosot (PAH)",IF(V65=TRUE,"Arsen","")))))</f>
        <v/>
      </c>
      <c r="Z77" s="7" t="str">
        <f>IF($R$65=TRUE,"EN 13964:2004
EN 717-1:2004","")</f>
        <v/>
      </c>
      <c r="AA77" s="152"/>
      <c r="AB77" s="4" t="str">
        <f>IF($R$65=TRUE,"1.b",IF($S$65=TRUE,"D1.",IF($V$65=TRUE,"2.","")))</f>
        <v/>
      </c>
      <c r="AC77" s="4" t="str">
        <f>IF(S65=TRUE,"TVOC: 200 μg/m²h (tilsvarer 160 μg/m³) etter 28 dager,",IF($R$65=TRUE,"Undertegnede kan bekrefte at produktet ikke er tilsatt noen materialer som inneholder formaldehyd under produksjon eller ved bearbeiding etter produksjonen. Disse kan klassifiseres som E1 uten prøving",IF(V65=TRUE,"Bly","")))</f>
        <v/>
      </c>
      <c r="AD77" s="4" t="str">
        <f>IF($R$65=TRUE,"NS-EN 13964:2004",IF($S$65=TRUE,"NS-EN 15251:2007",""))</f>
        <v/>
      </c>
      <c r="AE77" s="150"/>
      <c r="AF77" s="4" t="str">
        <f>IF($R$65=TRUE,"2.",IF($S$65=TRUE,"D1.",IF($V$65=TRUE,"3.","")))</f>
        <v/>
      </c>
      <c r="AG77" s="4" t="str">
        <f>IF(S65=TRUE,"FORMALDEHYD: 62 μg/m²h (tilsvarer 50 μg/m³) etter 3 dager eller 50 μg/m²h (tilsvarer 40 μg/m³) etter 28 dager,",IF($R$65=TRUE,"Produktet har en emisjonstest som viser at emisjoner av TVOC er under 0,2 mg/m²h",IF(V65=TRUE,"Bromerte flammehemmere (HBCD, TBBPA)","")))</f>
        <v/>
      </c>
      <c r="AH77" s="4" t="str">
        <f>IF($R$65=TRUE,"NS-EN 15251:2007",IF($S$65=TRUE,"NS-EN 15251:2007",""))</f>
        <v/>
      </c>
      <c r="AI77" s="153" t="str">
        <f>IF($S$65=TRUE,"ISO 16000-9 med ISO 16000-6 og ISO 16000-3. Prøving og beregning i samsvar med EN 16516.","")</f>
        <v/>
      </c>
      <c r="AJ77" s="153"/>
      <c r="AK77" s="4" t="str">
        <f>IF($R$65=TRUE,"3.",IF($S$65=TRUE,"D1.",IF($V$65=TRUE,"4.","")))</f>
        <v/>
      </c>
      <c r="AL77" s="4" t="str">
        <f>IF(S65=TRUE,"KREFTFREMKALLENDE: 5 μg/m²h (tilsvarer 4 μg/m³) etter 28 dager.",IF($R$65=TRUE,"Produktet har ikke en emisjonstest som måler emisjoner av ammoniakk, men undertegnede kan bekrefte at ammoniakk ikke er sporbart aktivt i produktet, og at produktet ikke inneholder stoffer som kan avspaltes til ammoniakk",IF($V$65=TRUE,"Ftalater (DEHP)","")))</f>
        <v/>
      </c>
      <c r="AM77" s="4" t="str">
        <f>IF($R$65=TRUE,
"EN 717-1:2004
EN 13999-2:2007
EN 13999-3:2007
EN 13999-4:2007
EN 12149:1997",IF($S$65=TRUE,"NS-EN 15251:2007",""))</f>
        <v/>
      </c>
      <c r="AN77" s="153"/>
      <c r="AO77" s="4" t="str">
        <f>IF($R$65=TRUE,"4.a",IF($S$65=TRUE,"D2.",IF($V$65=TRUE,"5.","")))</f>
        <v/>
      </c>
      <c r="AP77" s="4" t="str">
        <f>IF($S$65=TRUE,"Undertegnede bekrefter fravær av regulerte treimpregneringsmidler.",IF($R$65=TRUE,"Produktet har en emisjonstest som viser at emisjoner av ammoniakk er under 0,03 mg/m²h",IF(V65=TRUE,"Mellomkjedede klorerte parafiner","")))</f>
        <v/>
      </c>
      <c r="AQ77" s="4" t="str">
        <f>IF($R$65=TRUE,"NS-EN 15251:2007","")</f>
        <v/>
      </c>
      <c r="AR77" s="153"/>
      <c r="AS77" s="4" t="str">
        <f>IF($R$65=TRUE,"4.b","")</f>
        <v/>
      </c>
      <c r="AT77" s="4" t="str">
        <f>IF($R$65=TRUE,"Produktet har en emisjonstest som viser at misnøye med lukt er under 15 %.","")</f>
        <v/>
      </c>
      <c r="AU77" s="4" t="str">
        <f>IF($R$65=TRUE,"NS-EN 15251:2007","")</f>
        <v/>
      </c>
      <c r="AV77" s="153"/>
      <c r="AW77" s="4" t="str">
        <f>IF($R$65=TRUE,"5.","")</f>
        <v/>
      </c>
      <c r="AX77" s="4" t="str">
        <f>IF($R$65=TRUE,"Produktet har en emisjonstest som viser at emisjoner av kreftfremkallende forbindelser (IARC) er under 0,005 mg/m²h","")</f>
        <v/>
      </c>
      <c r="AY77" s="4" t="str">
        <f>IF($R$65=TRUE,"NS-EN 15251:2007","")</f>
        <v/>
      </c>
      <c r="AZ77" s="4"/>
      <c r="BA77" s="4" t="str">
        <f>IF($R$65=TRUE,"6.","")</f>
        <v/>
      </c>
      <c r="BB77" s="4" t="str">
        <f>IF($R$65=TRUE,"Produktet har en emisjonstest som viser at emisjoner av formaldehyd er under 0,05 mg/m²h","")</f>
        <v/>
      </c>
      <c r="BC77" s="4" t="str">
        <f>IF($R$65=TRUE,"NS-EN 15251:2007","")</f>
        <v/>
      </c>
      <c r="BD77" s="4"/>
      <c r="BE77" s="4" t="str">
        <f>IF($R$65=TRUE,"7.","")</f>
        <v/>
      </c>
      <c r="BF77" s="4" t="str">
        <f>IF($R$65=TRUE,"Testene i punkt 2 – 6 er utført iht. ISO 16000-serien med målinger gjort etter 28 dager","")</f>
        <v/>
      </c>
      <c r="BG77" s="4" t="str">
        <f>IF($R$65=TRUE,"ISO 16000","")</f>
        <v/>
      </c>
      <c r="BH77" s="4"/>
      <c r="BI77" s="4" t="str">
        <f>IF($R$65=TRUE,"8.","")</f>
        <v/>
      </c>
      <c r="BJ77" s="4" t="str">
        <f>IF($R$65=TRUE,"Undertegnede kan bekrefte at produktet ikke inneholder asbest","")</f>
        <v/>
      </c>
      <c r="BK77" s="4" t="str">
        <f>IF($R$65=TRUE,"NS-EN 13964:2004","")</f>
        <v/>
      </c>
      <c r="BL77" s="4"/>
      <c r="BM77" s="4"/>
      <c r="BN77" s="4"/>
      <c r="BO77" s="4"/>
      <c r="BU77" s="44"/>
      <c r="BV77" s="44"/>
      <c r="BW77" s="44"/>
      <c r="BX77" s="44"/>
      <c r="BY77" s="44"/>
      <c r="BZ77" s="44"/>
      <c r="CA77" s="44"/>
      <c r="CB77" s="44"/>
      <c r="CC77" s="44"/>
      <c r="CD77" s="44"/>
      <c r="CE77" s="44"/>
      <c r="CF77" s="44"/>
      <c r="CG77" s="44"/>
      <c r="CH77" s="44"/>
      <c r="CI77" s="44"/>
      <c r="CJ77" s="44"/>
      <c r="CK77" s="44"/>
      <c r="CL77" s="44"/>
      <c r="CM77" s="44"/>
      <c r="CN77" s="44"/>
      <c r="CO77" s="44"/>
      <c r="CP77" s="44"/>
      <c r="CQ77" s="44"/>
      <c r="CR77" s="44"/>
      <c r="CS77" s="44"/>
      <c r="CT77" s="44"/>
      <c r="CU77" s="44"/>
      <c r="CV77" s="44"/>
      <c r="CW77" s="44"/>
      <c r="CX77" s="44"/>
      <c r="CY77" s="44"/>
      <c r="CZ77" s="44"/>
      <c r="DA77" s="44"/>
      <c r="DB77" s="44"/>
      <c r="DC77" s="44"/>
      <c r="DD77" s="44"/>
      <c r="DE77" s="44"/>
      <c r="DF77" s="44"/>
      <c r="DG77" s="44"/>
      <c r="DH77" s="44"/>
      <c r="DI77" s="44"/>
      <c r="DJ77" s="44"/>
      <c r="DK77" s="44"/>
      <c r="DL77" s="44"/>
      <c r="DM77" s="44"/>
      <c r="DN77" s="44"/>
      <c r="DO77" s="44"/>
      <c r="DP77" s="44"/>
      <c r="DQ77" s="44"/>
      <c r="DR77" s="44"/>
      <c r="DS77" s="44"/>
      <c r="DT77" s="44"/>
      <c r="DU77" s="44"/>
      <c r="DV77" s="44"/>
      <c r="DW77" s="44"/>
      <c r="DX77" s="44"/>
      <c r="DY77" s="44"/>
      <c r="DZ77" s="44"/>
      <c r="EA77" s="44"/>
      <c r="EB77" s="44"/>
      <c r="EC77" s="44"/>
      <c r="ED77" s="44"/>
      <c r="EE77" s="44"/>
      <c r="EF77" s="44"/>
      <c r="EG77" s="44"/>
    </row>
    <row r="78" spans="1:137" ht="15" customHeight="1">
      <c r="A78" s="14"/>
      <c r="B78" s="57"/>
      <c r="C78" s="57"/>
      <c r="D78" s="57"/>
      <c r="E78" s="57"/>
      <c r="F78" s="57"/>
      <c r="G78" s="57"/>
      <c r="H78" s="57"/>
      <c r="I78" s="57"/>
      <c r="J78" s="57"/>
      <c r="K78" s="57"/>
      <c r="L78" s="57"/>
      <c r="M78" s="57"/>
      <c r="N78" s="57"/>
      <c r="O78" s="57"/>
      <c r="P78" s="57"/>
      <c r="Q78" s="57"/>
      <c r="R78" s="57"/>
      <c r="S78" s="57"/>
      <c r="W78" s="7" t="str">
        <f>IF(R66=TRUE,"trekonstruksjoner",IF(S66=TRUE,"slitesterke tekstil- og laminatgulvbelegg",IF(T66=TRUE,"vinduer og ytterdører",IF(U66=TRUE,"vinduer og ytterdører",IF(V66=TRUE,"tepper","")))))</f>
        <v/>
      </c>
      <c r="X78" s="7" t="str">
        <f>IF($R$66=TRUE,"1.a",IF($S$66=TRUE,"E.",IF(T66=TRUE,"1.",IF(U66=TRUE,"1.",IF($V$66=TRUE,"1.","")))))</f>
        <v/>
      </c>
      <c r="Y78" s="7" t="str">
        <f>IF($R$66=TRUE,"Produktet kan klassifiseres som E1 iht. testmetode EN 717-1:2004",IF($S$66=TRUE,"Grenseverdier for utslipp:",IF($T$66=TRUE,"PFOS/PFOA",IF($U$66=TRUE,"PFOS/PFOA",IF(V66=TRUE,"PFOS/PFOA/PFCA","")))))</f>
        <v/>
      </c>
      <c r="Z78" s="7"/>
      <c r="AA78" s="152"/>
      <c r="AB78" s="4" t="str">
        <f>IF($S$66=TRUE,"E.",IF($R$66=TRUE,"1.b",IF(T66=TRUE,"2.",IF(U66=TRUE,"2.",IF($V$66=TRUE,"2.","")))))</f>
        <v/>
      </c>
      <c r="AC78" s="4" t="str">
        <f>IF(S66=TRUE,"TVOC: 200 μg/m²h (tilsvarer 160 μg/m³) etter 28 dager,",IF($R$66=TRUE,"Undertegnede kan bekrefte at produktet ikke er tilsatt noen materialer som inneholder formaldehyd under produksjon eller ved bearbeiding etter produksjonen. Disse kan klassifiseres som E1 uten prøving",IF(T66=TRUE,"Bromerte flammehemmere (HBCDD, TBBPA)",IF(U66=TRUE,"Bromerte flammehemmere (HBCDD, TBBPA)",IF($V$66=TRUE,"Bly","")))))</f>
        <v/>
      </c>
      <c r="AD78" s="4" t="str">
        <f>IF($R$66=TRUE,"EN 14080:2005
EN 717-1:2004",IF($S$66=TRUE,"NS-EN 15251:2007",IF($R$66=TRUE,"NS-EN 14080:2005","")))</f>
        <v/>
      </c>
      <c r="AE78" s="150"/>
      <c r="AF78" s="4" t="str">
        <f>IF($S$66=TRUE,"E.",IF($R$66=TRUE,"2.",IF(T66=TRUE,"3.",IF(U66=TRUE,"3.",IF($V$66=TRUE,"3.","")))))</f>
        <v/>
      </c>
      <c r="AG78" s="4" t="str">
        <f>IF(S66=TRUE,"FORMALDEHYD: 62 μg/m²h (tilsvarer 50 μg/m³) etter 3 dager eller 50 μg/m²h (tilsvarer 40 μg/m³) etter 28 dager,",IF($R$66=TRUE,"Produktet har en emisjonstest som viser at emisjoner av TVOC er under 0,2 mg/m²h",IF($T$66=TRUE,"Ftalater (DEHP, DBP, BBP)",IF($U$66=TRUE,"Ftalater (DEHP)",IF($V$66=TRUE,"Bromerte flammehemmere (HBCD, TBBPA)","")))))</f>
        <v/>
      </c>
      <c r="AH78" s="4" t="str">
        <f>IF($R$66=TRUE,"EN 14080:2005
EN 717-1:2004",IF($S$66=TRUE,"NS-EN 15251:2007",IF($R$66=TRUE,"NS-EN 15251:2007","")))</f>
        <v/>
      </c>
      <c r="AI78" s="153"/>
      <c r="AJ78" s="153"/>
      <c r="AK78" s="4" t="str">
        <f>IF($S$66=TRUE,"E.",IF($R$66=TRUE,"3.",IF(T66=TRUE,"4.",IF(U66=TRUE,"4.",IF($V$66=TRUE,"4.","")))))</f>
        <v/>
      </c>
      <c r="AL78" s="4" t="str">
        <f>IF(S66=TRUE,"KREFTFREMKALLENDE: 5 μg/m²h (tilsvarer 4 μg/m³) etter 28 dager.",IF($R$66=TRUE,"Produktet har ikke en emisjonstest som måler emisjoner av ammoniakk, men undertegnede kan bekrefte at ammoniakk ikke er sporbart aktivt i produktet, og at produktet ikke inneholder stoffer som kan avspaltes til ammoniakk",IF(T66=TRUE,"Klorparafiner",IF(U66=TRUE,"Klorparafiner",IF($U$69=TRUE,"Krom",IF($V$66=TRUE,"Klorerte parafiner",""))))))</f>
        <v/>
      </c>
      <c r="AM78" s="4" t="str">
        <f>IF($R$66=TRUE,"EN 14080:2005
EN 717-1:2004",IF($S$66=TRUE,"NS-EN 15251:2007",IF($R$66=TRUE,"NS-EN 15251:2007",IF($R$66=TRUE,
"EN 717-1:2004
EN 13999-2:2007
EN 13999-3:2007
EN 13999-4:2007
EN 12149:1997",""))))</f>
        <v/>
      </c>
      <c r="AN78" s="153"/>
      <c r="AO78" s="4" t="str">
        <f>IF($R$66=TRUE,"4.a",IF(T66=TRUE,"5.",IF(U66=TRUE,"5.",IF($V$66=TRUE,"5.",""))))</f>
        <v/>
      </c>
      <c r="AP78" s="4" t="str">
        <f>IF($R$66=TRUE,"Produktet har en emisjonstest som viser at emisjoner av ammoniakk er under 0,03 mg/m²h",IF(T66=TRUE,"Oktyl-/nonylfenoler",IF(U66=TRUE,"Oktyl-/nonylfenoler",IF($V$66=TRUE,"Krom",""))))</f>
        <v/>
      </c>
      <c r="AQ78" s="4" t="str">
        <f>IF($R$66=TRUE,"NS-EN 15251:2007","")</f>
        <v/>
      </c>
      <c r="AR78" s="153"/>
      <c r="AS78" s="4" t="str">
        <f>IF($R$66=TRUE,"4.b",IF(T66=TRUE,"6.",IF(U66=TRUE,"6.",IF($V$66=TRUE,"6.",""))))</f>
        <v/>
      </c>
      <c r="AT78" s="4" t="str">
        <f>IF($R$66=TRUE,"Produktet har en emisjonstest som viser at misnøye med lukt er under 15 %.",IF(T66=TRUE,"Bisfenol A",IF(U66=TRUE,"Bisfenol A",IF($V$66=TRUE,"Oktyl-/nonylfenoler",""))))</f>
        <v/>
      </c>
      <c r="AU78" s="4" t="str">
        <f>IF($R$66=TRUE,"NS-EN 15251:2007","")</f>
        <v/>
      </c>
      <c r="AV78" s="153"/>
      <c r="AW78" s="4" t="str">
        <f>IF($R$66=TRUE,"5.","")</f>
        <v/>
      </c>
      <c r="AX78" s="4" t="str">
        <f>IF($R$66=TRUE,"Produktet har en emisjonstest som viser at emisjoner av kreftfremkallende forbindelser (IARC) er under 0,005 mg/m²h","")</f>
        <v/>
      </c>
      <c r="AY78" s="4" t="str">
        <f>IF($R$66=TRUE,"NS-EN 15251:2007","")</f>
        <v/>
      </c>
      <c r="AZ78" s="4"/>
      <c r="BA78" s="4" t="str">
        <f>IF($R$66=TRUE,"6.","")</f>
        <v/>
      </c>
      <c r="BB78" s="4" t="str">
        <f>IF($R$66=TRUE,"Produktet har en emisjonstest som viser at emisjoner av formaldehyd er under 0,05 mg/m²h","")</f>
        <v/>
      </c>
      <c r="BC78" s="4" t="str">
        <f>IF($R$66=TRUE,"NS-EN 15251:2007","")</f>
        <v/>
      </c>
      <c r="BD78" s="4"/>
      <c r="BE78" s="4" t="str">
        <f>IF($R$66=TRUE,"7.","")</f>
        <v/>
      </c>
      <c r="BF78" s="4" t="str">
        <f>IF($R$66=TRUE,"Testene i punkt 2 – 6 er utført iht. ISO 16000-serien med målinger gjort etter 28 dager","")</f>
        <v/>
      </c>
      <c r="BG78" s="4" t="str">
        <f>IF($R$66=TRUE,"ISO 16000","")</f>
        <v/>
      </c>
      <c r="BH78" s="4"/>
      <c r="BI78" s="4"/>
      <c r="BJ78" s="4"/>
      <c r="BK78" s="4"/>
      <c r="BL78" s="4"/>
      <c r="BM78" s="4"/>
      <c r="BN78" s="4"/>
      <c r="BO78" s="4"/>
      <c r="BU78" s="44"/>
      <c r="BV78" s="44"/>
      <c r="BW78" s="44"/>
      <c r="BX78" s="44"/>
      <c r="BY78" s="44"/>
      <c r="BZ78" s="44"/>
      <c r="CA78" s="44"/>
      <c r="CB78" s="44"/>
      <c r="CC78" s="44"/>
      <c r="CD78" s="44"/>
      <c r="CE78" s="44"/>
      <c r="CF78" s="44"/>
      <c r="CG78" s="44"/>
      <c r="CH78" s="44"/>
      <c r="CI78" s="44"/>
      <c r="CJ78" s="44"/>
      <c r="CK78" s="44"/>
      <c r="CL78" s="44"/>
      <c r="CM78" s="44"/>
      <c r="CN78" s="44"/>
      <c r="CO78" s="44"/>
      <c r="CP78" s="44"/>
      <c r="CQ78" s="44"/>
      <c r="CR78" s="44"/>
      <c r="CS78" s="44"/>
      <c r="CT78" s="44"/>
      <c r="CU78" s="44"/>
      <c r="CV78" s="44"/>
      <c r="CW78" s="44"/>
      <c r="CX78" s="44"/>
      <c r="CY78" s="44"/>
      <c r="CZ78" s="44"/>
      <c r="DA78" s="44"/>
      <c r="DB78" s="44"/>
      <c r="DC78" s="44"/>
      <c r="DD78" s="44"/>
      <c r="DE78" s="44"/>
      <c r="DF78" s="44"/>
      <c r="DG78" s="44"/>
      <c r="DH78" s="44"/>
      <c r="DI78" s="44"/>
      <c r="DJ78" s="44"/>
      <c r="DK78" s="44"/>
      <c r="DL78" s="44"/>
      <c r="DM78" s="44"/>
      <c r="DN78" s="44"/>
      <c r="DO78" s="44"/>
      <c r="DP78" s="44"/>
      <c r="DQ78" s="44"/>
      <c r="DR78" s="44"/>
      <c r="DS78" s="44"/>
      <c r="DT78" s="44"/>
      <c r="DU78" s="44"/>
      <c r="DV78" s="44"/>
      <c r="DW78" s="44"/>
      <c r="DX78" s="44"/>
      <c r="DY78" s="44"/>
      <c r="DZ78" s="44"/>
      <c r="EA78" s="44"/>
      <c r="EB78" s="44"/>
      <c r="EC78" s="44"/>
      <c r="ED78" s="44"/>
      <c r="EE78" s="44"/>
      <c r="EF78" s="44"/>
      <c r="EG78" s="44"/>
    </row>
    <row r="79" spans="1:137" s="1" customFormat="1" ht="15" hidden="1" customHeight="1">
      <c r="A79" s="35"/>
      <c r="B79" s="35"/>
      <c r="C79" s="36"/>
      <c r="D79" s="36"/>
      <c r="E79" s="36"/>
      <c r="F79" s="36"/>
      <c r="G79" s="36"/>
      <c r="H79" s="36"/>
      <c r="I79" s="36"/>
      <c r="J79" s="36"/>
      <c r="K79" s="36"/>
      <c r="L79" s="36"/>
      <c r="M79" s="35"/>
      <c r="N79" s="37"/>
      <c r="O79" s="37"/>
      <c r="P79" s="37"/>
      <c r="Q79" s="35"/>
      <c r="R79" s="35"/>
      <c r="S79" s="35"/>
      <c r="T79" s="3"/>
      <c r="U79" s="3"/>
      <c r="V79" s="3"/>
      <c r="W79" s="7" t="str">
        <f>IF(R67=TRUE,"maling og lakk",IF(S67=TRUE,"nedsenkede himlingsplater",IF(T67=TRUE,"vinyl gulvbelegg",IF(U67=TRUE,"vinyl gulvbelegg",IF(V67=TRUE,"trevirke behandlet med konserveringsmiddel","")))))</f>
        <v/>
      </c>
      <c r="X79" s="7" t="str">
        <f>IF($R$67=TRUE,"1.",IF($S$67=TRUE,"F.",IF(T67=TRUE,"1.",IF(U67=TRUE,"1.",IF(V67=TRUE,"1.","")))))</f>
        <v/>
      </c>
      <c r="Y79" s="7" t="str">
        <f>IF($S$67=TRUE,"Grenseverdier for utslipp:",IF($R$67=TRUE,"Emisjonstestene av maling er utført iht. ISO 16000-9 eller ISO 16000-10, og emisjonene som er oppgitt er fra målinger gjort etter 3 døgn",IF(T67=TRUE,"Bly",IF(U67=TRUE,"Bly",IF($V$67=TRUE,"Kreosot","")))))</f>
        <v/>
      </c>
      <c r="Z79" s="7"/>
      <c r="AA79" s="152"/>
      <c r="AB79" s="4" t="str">
        <f>IF($S$67=TRUE,"F.",IF($R$67=TRUE,"2.",IF($T$67=TRUE,"2.",IF(U67=TRUE,"2.",IF($V$67=TRUE,"2.","")))))</f>
        <v/>
      </c>
      <c r="AC79" s="4" t="str">
        <f>IF(S67=TRUE,"TVOC: 200 μg/m²h (tilsvarer 160 μg/m³) etter 28 dager,",IF($R$67=TRUE,"Malingen/lakken tilfredsstiller VOC-direktivet: Directive 2004/42/CE",IF(T67=TRUE,"Bromerte flammehemmere (HBCD, TBBPA)",IF(U67=TRUE,"Bromerte flammehemmere (HBCD, TBBPA)",IF($V$67=TRUE,"Arsen","")))))</f>
        <v/>
      </c>
      <c r="AD79" s="4" t="str">
        <f>IF($S$67=TRUE,"NS-EN 15251:2007","")</f>
        <v/>
      </c>
      <c r="AE79" s="150"/>
      <c r="AF79" s="4" t="str">
        <f>IF($S$67=TRUE,"F.",IF(T67=TRUE,"3.",IF(U67=TRUE,"3.",IF($V$67=TRUE,"3.",""))))</f>
        <v/>
      </c>
      <c r="AG79" s="4" t="str">
        <f>IF(S67=TRUE,"FORMALDEHYD: 62 μg/m²h (tilsvarer 50 μg/m³) etter 3 dager eller 50 μg/m²h (tilsvarer 40 μg/m³) etter 28 dager,",IF($T$67=TRUE,"Ftalater (DEHP, DBP, BBP)",IF($U$67=TRUE,"Ftalater (DEHP)",IF($V$67=TRUE,"Krom",""))))</f>
        <v/>
      </c>
      <c r="AH79" s="4" t="str">
        <f>IF($S$67=TRUE,"NS-EN 15251:2007","")</f>
        <v/>
      </c>
      <c r="AI79" s="153"/>
      <c r="AJ79" s="153"/>
      <c r="AK79" s="4" t="str">
        <f>IF($S$67=TRUE,"F.",IF(T67=TRUE,"4.",IF(U67=TRUE,"4.","")))</f>
        <v/>
      </c>
      <c r="AL79" s="4" t="str">
        <f>IF(S67=TRUE,"KREFTFREMKALLENDE: 5 μg/m²h (tilsvarer 4 μg/m³).",IF(T67=TRUE,"Bisfenol A",IF(U67=TRUE,"Bisfenol A","")))</f>
        <v/>
      </c>
      <c r="AM79" s="4" t="str">
        <f>IF($S$67=TRUE,"NS-EN 15251:2007","")</f>
        <v/>
      </c>
      <c r="AN79" s="153"/>
      <c r="AO79" s="4" t="str">
        <f>IF($T$67=TRUE,"5.",IF(U67=TRUE,"5.",""))</f>
        <v/>
      </c>
      <c r="AP79" s="4" t="str">
        <f>IF(T67=TRUE,"Mellomkjedede klorparafiner",IF(U67=TRUE,"Mellomkjedede klorparafiner",""))</f>
        <v/>
      </c>
      <c r="AQ79" s="4"/>
      <c r="AR79" s="153"/>
      <c r="AS79" s="4" t="str">
        <f>IF($T$67=TRUE,"6.","")</f>
        <v/>
      </c>
      <c r="AT79" s="4" t="str">
        <f>IF($T$67=TRUE,"Tris(2-kloretyl)fosfat (TCEP)","")</f>
        <v/>
      </c>
      <c r="AU79" s="4"/>
      <c r="AV79" s="153"/>
      <c r="AW79" s="4"/>
      <c r="AX79" s="4"/>
      <c r="AY79" s="4"/>
      <c r="AZ79" s="4"/>
      <c r="BA79" s="4"/>
      <c r="BB79" s="4"/>
      <c r="BC79" s="4"/>
      <c r="BD79" s="4"/>
      <c r="BE79" s="4"/>
      <c r="BF79" s="4"/>
      <c r="BG79" s="4"/>
      <c r="BH79" s="4"/>
      <c r="BI79" s="4"/>
      <c r="BJ79" s="4"/>
      <c r="BK79" s="4"/>
      <c r="BL79" s="4"/>
      <c r="BM79" s="4"/>
      <c r="BN79" s="4"/>
      <c r="BO79" s="4"/>
      <c r="BP79" s="3"/>
      <c r="BQ79" s="3"/>
      <c r="BR79" s="3"/>
      <c r="BS79" s="3"/>
      <c r="BT79" s="3"/>
      <c r="BU79" s="35"/>
      <c r="BV79" s="35"/>
      <c r="BW79" s="35"/>
      <c r="BX79" s="35"/>
      <c r="BY79" s="35"/>
      <c r="BZ79" s="35"/>
      <c r="CA79" s="35"/>
      <c r="CB79" s="35"/>
      <c r="CC79" s="35"/>
      <c r="CD79" s="35"/>
      <c r="CE79" s="35"/>
      <c r="CF79" s="35"/>
      <c r="CG79" s="35"/>
      <c r="CH79" s="35"/>
      <c r="CI79" s="35"/>
      <c r="CJ79" s="35"/>
      <c r="CK79" s="35"/>
      <c r="CL79" s="35"/>
      <c r="CM79" s="35"/>
      <c r="CN79" s="35"/>
      <c r="CO79" s="35"/>
      <c r="CP79" s="35"/>
      <c r="CQ79" s="35"/>
      <c r="CR79" s="35"/>
      <c r="CS79" s="35"/>
      <c r="CT79" s="35"/>
      <c r="CU79" s="35"/>
      <c r="CV79" s="35"/>
      <c r="CW79" s="35"/>
      <c r="CX79" s="35"/>
      <c r="CY79" s="35"/>
      <c r="CZ79" s="35"/>
      <c r="DA79" s="35"/>
      <c r="DB79" s="35"/>
      <c r="DC79" s="35"/>
      <c r="DD79" s="35"/>
      <c r="DE79" s="35"/>
      <c r="DF79" s="35"/>
      <c r="DG79" s="35"/>
      <c r="DH79" s="35"/>
      <c r="DI79" s="35"/>
      <c r="DJ79" s="35"/>
      <c r="DK79" s="35"/>
      <c r="DL79" s="35"/>
      <c r="DM79" s="35"/>
      <c r="DN79" s="35"/>
      <c r="DO79" s="35"/>
      <c r="DP79" s="35"/>
      <c r="DQ79" s="35"/>
      <c r="DR79" s="35"/>
      <c r="DS79" s="35"/>
      <c r="DT79" s="35"/>
      <c r="DU79" s="35"/>
      <c r="DV79" s="35"/>
      <c r="DW79" s="35"/>
      <c r="DX79" s="35"/>
      <c r="DY79" s="35"/>
      <c r="DZ79" s="35"/>
      <c r="EA79" s="35"/>
      <c r="EB79" s="35"/>
      <c r="EC79" s="35"/>
      <c r="ED79" s="35"/>
      <c r="EE79" s="35"/>
      <c r="EF79" s="35"/>
      <c r="EG79" s="35"/>
    </row>
    <row r="80" spans="1:137" s="1" customFormat="1" ht="15" hidden="1" customHeight="1">
      <c r="A80" s="35"/>
      <c r="B80" s="35"/>
      <c r="C80" s="36"/>
      <c r="D80" s="36"/>
      <c r="E80" s="36"/>
      <c r="F80" s="36"/>
      <c r="G80" s="36"/>
      <c r="H80" s="36"/>
      <c r="I80" s="36"/>
      <c r="J80" s="36"/>
      <c r="K80" s="36"/>
      <c r="L80" s="36"/>
      <c r="M80" s="35"/>
      <c r="N80" s="37"/>
      <c r="O80" s="37"/>
      <c r="P80" s="37"/>
      <c r="Q80" s="35"/>
      <c r="R80" s="35"/>
      <c r="S80" s="35"/>
      <c r="T80" s="3"/>
      <c r="U80" s="3"/>
      <c r="V80" s="3"/>
      <c r="W80" s="7" t="str">
        <f>IF(R68=TRUE,"tregulv og parkett",IF(S68=TRUE,"gulvlim",IF(T68=TRUE,"XPS, EPS og cellegummi",IF(U68=TRUE,"XPS, EPS og cellegummi",IF(V68=TRUE,"vinduer og ytterdører","")))))</f>
        <v/>
      </c>
      <c r="X80" s="7" t="str">
        <f>IF($R$68=TRUE,"1.a",IF($S$68=TRUE,"G.",IF(T68=TRUE,"1.",IF(U68=TRUE,"1.",IF(V68=TRUE,"1.","")))))</f>
        <v/>
      </c>
      <c r="Y80" s="7" t="str">
        <f>IF($R$68=TRUE,"Produktet kan klassifiseres som E1 iht. testmetode EN 717-1:2004",IF($S$68=TRUE,"Grenseverdier for utslipp:",IF(T68=TRUE,"Bromerte flammehemmere HBCDD, TBBPA",IF(U68=TRUE,"Flammehemmere HBCDD, TBBPA",IF($V$68=TRUE,"PFOS/PFOA","")))))</f>
        <v/>
      </c>
      <c r="Z80" s="7" t="str">
        <f>IF($R$68=TRUE,"EN 14342:2005
EN 717-1:2004",IF(S68=TRUE,"ISO 16000-9 med ISO 16000-6 og ISO 16000-3",""))</f>
        <v/>
      </c>
      <c r="AA80" s="152"/>
      <c r="AB80" s="4" t="str">
        <f>IF($R$68=TRUE,"1.b",IF(V68=TRUE,"2.",""))</f>
        <v/>
      </c>
      <c r="AC80" s="4" t="str">
        <f>IF(S68=TRUE,"TVOC: 200 μg/m²h (tilsvarer 160 μg/m³) etter 28 dager,",IF($R$68=TRUE,"Undertegnede kan bekrefte at produktet ikke er tilsatt noen materialer som inneholder formaldehyd under produksjon eller ved bearbeiding etter produksjonen. Disse kan klassifiseres som E1 uten prøving",IF(V68=TRUE,"Bromerte flammehemmere (HBCD, TBBPA)","")))</f>
        <v/>
      </c>
      <c r="AD80" s="4" t="str">
        <f>IF($R$68=TRUE,"EN 14342:2005
EN 717-1:2004",IF(S68=TRUE,"ISO 16000-9 med ISO 16000-6 og ISO 16000-3.",""))</f>
        <v/>
      </c>
      <c r="AE80" s="150"/>
      <c r="AF80" s="4" t="str">
        <f>IF($R$68=TRUE,"2.",IF(V68=TRUE,"3.",""))</f>
        <v/>
      </c>
      <c r="AG80" s="4" t="str">
        <f>IF(S68=TRUE,"FORMALDEHYD: 62 μg/m²h (tilsvarer 50 μg/m³) etter 3 dager eller 50 μg/m²h (tilsvarer 40 μg/m³) etter 28 dager,",IF($R$68=TRUE,"Produktet har en emisjonstest som viser at emisjoner av TVOC er under 0,2 mg/m²h",IF($V$68=TRUE,"Ftalater (DEHP)","")))</f>
        <v/>
      </c>
      <c r="AH80" s="4" t="str">
        <f>IF($R$68=TRUE,"EN 14342:2005
EN 717-1:2004",IF(S68=TRUE,"ISO 16000-9 med ISO 16000-6 og ISO 16000-3.",IF($R$68=TRUE,"NS-EN 15251:2007","")))</f>
        <v/>
      </c>
      <c r="AI80" s="153"/>
      <c r="AJ80" s="153"/>
      <c r="AK80" s="4" t="str">
        <f>IF($R$68=TRUE,"3.",IF(V68=TRUE,"4.",""))</f>
        <v/>
      </c>
      <c r="AL80" s="4" t="str">
        <f>IF(S68=TRUE,"KREFTFREMKALLENDE: 5 μg/m²h (tilsvarer 4 μg/m³).",IF($R$68=TRUE,"Produktet har ikke en emisjonstest som måler emisjoner av ammoniakk, men undertegnede kan bekrefte at ammoniakk ikke er sporbart aktivt i produktet, og at produktet ikke inneholder stoffer som kan avspaltes til ammoniakk",IF(V68=TRUE,"Klorerte parafiner","")))</f>
        <v/>
      </c>
      <c r="AM80" s="4" t="str">
        <f>IF($R$68=TRUE,"EN 14342:2005
EN 717-1:2004",IF(S68=TRUE,"ISO 16000-9 med ISO 16000-6 og ISO 16000-3.",IF($R$68=TRUE,
"EN 717-1:2004
EN 13999-2:2007
EN 13999-3:2007
EN 13999-4:2007
EN 12149:1997","")))</f>
        <v/>
      </c>
      <c r="AN80" s="153"/>
      <c r="AO80" s="4" t="str">
        <f>IF($R$68=TRUE,"4.a",IF(V68=TRUE,"5.",""))</f>
        <v/>
      </c>
      <c r="AP80" s="4" t="str">
        <f>IF($R$68=TRUE,"Produktet har en emisjonstest som viser at emisjoner av ammoniakk er under 0,03 mg/m²h",IF(V68=TRUE,"Oktyl-/nonylfenol",""))</f>
        <v/>
      </c>
      <c r="AQ80" s="4" t="str">
        <f>IF($R$68=TRUE,"NS-EN 15251:2007","")</f>
        <v/>
      </c>
      <c r="AR80" s="153"/>
      <c r="AS80" s="4" t="str">
        <f>IF($R$68=TRUE,"4.b",IF(V68=TRUE,"6.",""))</f>
        <v/>
      </c>
      <c r="AT80" s="4" t="str">
        <f>IF($R$68=TRUE,"Produktet har en emisjonstest som viser at misnøye med lukt er under 15 %.",IF(V68=TRUE,"Bisfenol A",""))</f>
        <v/>
      </c>
      <c r="AU80" s="4" t="str">
        <f>IF($R$68=TRUE,"NS-EN 15251:2007","")</f>
        <v/>
      </c>
      <c r="AV80" s="153"/>
      <c r="AW80" s="4" t="str">
        <f>IF($R$68=TRUE,"5.",IF(V68=TRUE,"7.",""))</f>
        <v/>
      </c>
      <c r="AX80" s="4" t="str">
        <f>IF($R$68=TRUE,"Produktet har en emisjonstest som viser at emisjoner av kreftfremkallende forbindelser (IARC) er under 0,005 mg/m²h",IF($V$68=TRUE,"Bly",""))</f>
        <v/>
      </c>
      <c r="AY80" s="4" t="str">
        <f>IF($R$68=TRUE,"NS-EN 15251:2007","")</f>
        <v/>
      </c>
      <c r="AZ80" s="4"/>
      <c r="BA80" s="4" t="str">
        <f>IF($R$68=TRUE,"6.","")</f>
        <v/>
      </c>
      <c r="BB80" s="4" t="str">
        <f>IF($R$68=TRUE,"Produktet har en emisjonstest som viser at emisjoner av ammoniakk er under 0,03 mg/m²h","")</f>
        <v/>
      </c>
      <c r="BC80" s="4" t="str">
        <f>IF($R$68=TRUE,"NS-EN 15251:2007","")</f>
        <v/>
      </c>
      <c r="BD80" s="4"/>
      <c r="BE80" s="4" t="str">
        <f>IF($R$68=TRUE,"7.","")</f>
        <v/>
      </c>
      <c r="BF80" s="4" t="str">
        <f>IF($R$68=TRUE,"Testene i punkt 2 – 6 er utført iht. ISO 16000-serien med målinger gjort etter 28 dager","")</f>
        <v/>
      </c>
      <c r="BG80" s="4" t="str">
        <f>IF($R$68=TRUE,"ISO 16000","")</f>
        <v/>
      </c>
      <c r="BH80" s="4"/>
      <c r="BI80" s="4" t="str">
        <f>IF($R$68=TRUE,"8.","")</f>
        <v/>
      </c>
      <c r="BJ80" s="4" t="str">
        <f>IF($R$68=TRUE,"Undertegnede kan bekrefte fravær av regulerte treimpregneringsmidler og at minimumsnivå er overholdt","")</f>
        <v/>
      </c>
      <c r="BK80" s="4" t="str">
        <f>IF($R$68=TRUE,"NS-EN 14342:2005","")</f>
        <v/>
      </c>
      <c r="BL80" s="4"/>
      <c r="BM80" s="4"/>
      <c r="BN80" s="4"/>
      <c r="BO80" s="4"/>
      <c r="BP80" s="3"/>
      <c r="BQ80" s="3"/>
      <c r="BR80" s="3"/>
      <c r="BS80" s="3"/>
      <c r="BT80" s="3"/>
      <c r="BU80" s="35"/>
      <c r="BV80" s="35"/>
      <c r="BW80" s="35"/>
      <c r="BX80" s="35"/>
      <c r="BY80" s="35"/>
      <c r="BZ80" s="35"/>
      <c r="CA80" s="35"/>
      <c r="CB80" s="35"/>
      <c r="CC80" s="35"/>
      <c r="CD80" s="35"/>
      <c r="CE80" s="35"/>
      <c r="CF80" s="35"/>
      <c r="CG80" s="35"/>
      <c r="CH80" s="35"/>
      <c r="CI80" s="35"/>
      <c r="CJ80" s="35"/>
      <c r="CK80" s="35"/>
      <c r="CL80" s="35"/>
      <c r="CM80" s="35"/>
      <c r="CN80" s="35"/>
      <c r="CO80" s="35"/>
      <c r="CP80" s="35"/>
      <c r="CQ80" s="35"/>
      <c r="CR80" s="35"/>
      <c r="CS80" s="35"/>
      <c r="CT80" s="35"/>
      <c r="CU80" s="35"/>
      <c r="CV80" s="35"/>
      <c r="CW80" s="35"/>
      <c r="CX80" s="35"/>
      <c r="CY80" s="35"/>
      <c r="CZ80" s="35"/>
      <c r="DA80" s="35"/>
      <c r="DB80" s="35"/>
      <c r="DC80" s="35"/>
      <c r="DD80" s="35"/>
      <c r="DE80" s="35"/>
      <c r="DF80" s="35"/>
      <c r="DG80" s="35"/>
      <c r="DH80" s="35"/>
      <c r="DI80" s="35"/>
      <c r="DJ80" s="35"/>
      <c r="DK80" s="35"/>
      <c r="DL80" s="35"/>
      <c r="DM80" s="35"/>
      <c r="DN80" s="35"/>
      <c r="DO80" s="35"/>
      <c r="DP80" s="35"/>
      <c r="DQ80" s="35"/>
      <c r="DR80" s="35"/>
      <c r="DS80" s="35"/>
      <c r="DT80" s="35"/>
      <c r="DU80" s="35"/>
      <c r="DV80" s="35"/>
      <c r="DW80" s="35"/>
      <c r="DX80" s="35"/>
      <c r="DY80" s="35"/>
      <c r="DZ80" s="35"/>
      <c r="EA80" s="35"/>
      <c r="EB80" s="35"/>
      <c r="EC80" s="35"/>
      <c r="ED80" s="35"/>
      <c r="EE80" s="35"/>
      <c r="EF80" s="35"/>
      <c r="EG80" s="35"/>
    </row>
    <row r="81" spans="1:137" s="1" customFormat="1" ht="15" hidden="1" customHeight="1">
      <c r="A81" s="35"/>
      <c r="B81" s="35"/>
      <c r="C81" s="35"/>
      <c r="D81" s="35"/>
      <c r="E81" s="35"/>
      <c r="F81" s="35"/>
      <c r="G81" s="35"/>
      <c r="H81" s="35"/>
      <c r="I81" s="35"/>
      <c r="J81" s="35"/>
      <c r="K81" s="35"/>
      <c r="L81" s="35"/>
      <c r="M81" s="37"/>
      <c r="N81" s="37"/>
      <c r="O81" s="35"/>
      <c r="P81" s="35"/>
      <c r="Q81" s="35"/>
      <c r="R81" s="35"/>
      <c r="S81" s="35"/>
      <c r="T81" s="3"/>
      <c r="U81" s="3"/>
      <c r="V81" s="3"/>
      <c r="W81" s="7" t="str">
        <f>IF(R69=TRUE,"trebaserte plater",IF(S69=TRUE,"veggkledninger",IF(U69=TRUE,"lim",IF(V69=TRUE,"XPS, EPS og cellegummi",""))))</f>
        <v/>
      </c>
      <c r="X81" s="7" t="str">
        <f>IF($R$69=TRUE,"1.a",IF($S$69=TRUE,"H1.",IF($T$69=TRUE,"1.",IF($U$69=TRUE,"1.",IF(V69=TRUE,"1.","")))))</f>
        <v/>
      </c>
      <c r="Y81" s="7" t="str">
        <f>IF($R$69=TRUE,"Produktet kan klassifiseres som E1 iht. testmetode EN 717-1:2004",IF($S$69=TRUE,"Grenseverdier for utslipp:",IF($T$69=TRUE,"Bisfenol A",IF($U$69=TRUE,"Bisfenol A",IF(V69=TRUE,"Bromerte flammehemmere (HBCD, TBBPA)","")))))</f>
        <v/>
      </c>
      <c r="Z81" s="7" t="str">
        <f>IF($R$69=TRUE,"EN 13986:2002
EN 717-1:2004","")</f>
        <v/>
      </c>
      <c r="AA81" s="152"/>
      <c r="AB81" s="4" t="str">
        <f>IF($R$69=TRUE,"1.b",IF($T$69=TRUE,"2.",IF($U$69=TRUE,"2.","")))</f>
        <v/>
      </c>
      <c r="AC81" s="4" t="str">
        <f>IF(S69=TRUE,"TVOC: 200 μg/m²h (tilsvarer 417 μg/m³) etter 28 dager,",IF($R$69=TRUE,"Undertegnede kan bekrefte at produktet ikke er tilsatt noen materialer som inneholder formaldehyd under produksjon eller ved bearbeiding etter produksjonen. Disse kan klassifiseres som E1 uten prøving",IF($T$69=TRUE,"Ftalatene DEHP, BBP og DBP",IF($U$69=TRUE,"Ftalatene DEHP, BBP og DBP",""))))</f>
        <v/>
      </c>
      <c r="AD81" s="4" t="str">
        <f>IF($R$69=TRUE,"NS-EN 13986:2002",IF($R$69=TRUE,"EN 13986:2002
EN 717-1:2004",IF(S69=TRUE,"NS-EN 15251: 2007
NS-EN 233:1999, 5.7 "&amp;" 
NS-EN 234:1997, 9.0
NS-EN 259-1:2001, 4.5 – 4.7","")))</f>
        <v/>
      </c>
      <c r="AE81" s="150"/>
      <c r="AF81" s="4" t="str">
        <f>IF($R$69=TRUE,"2.",IF($T$69=TRUE,"3.",IF($U$69=TRUE,"3.","")))</f>
        <v/>
      </c>
      <c r="AG81" s="4" t="str">
        <f>IF(S69=TRUE,"FORMALDEHYD: 62 μg/m²h (tilsvarer 50 μg/m³) etter 3 dager eller 50 μg/m²h (tilsvarer 104 μg/m³) etter 28 dager,",IF($R$69=TRUE,"Produktet har en emisjonstest som viser at emisjoner av TVOC er under 0,2 mg/m²h",IF($T$69=TRUE,"Klorparafiner",IF($U$69=TRUE,"Klorparafiner",""))))</f>
        <v/>
      </c>
      <c r="AH81" s="4" t="str">
        <f>IF($R$69=TRUE,"NS-EN 15251:2007",IF(S69=TRUE,"NS-EN 15251: 2007
NS-EN 233:1999, 5.7 "&amp;" 
NS-EN 234:1997, 9.0
NS-EN 259-1:2001, 4.5 – 4.7",""))</f>
        <v/>
      </c>
      <c r="AI81" s="153"/>
      <c r="AJ81" s="153"/>
      <c r="AK81" s="4" t="str">
        <f>IF($R$69=TRUE,"3.",IF($T$69=TRUE,"4.",IF($U$69=TRUE,"4.","")))</f>
        <v/>
      </c>
      <c r="AL81" s="4" t="str">
        <f>IF(S69=TRUE,"KREFTFREMKALLENDE: 5 μg/m²h (tilsvarer 10 μg/m³) etter 28 dager.",IF($R$69=TRUE,"Produktet har ikke en emisjonstest som måler emisjoner av ammoniakk, men undertegnede kan bekrefte at ammoniakk ikke er sporbart aktivt i produktet, og at produktet ikke inneholder stoffer som kan avspaltes til ammoniakk",IF($T$69=TRUE,"Krom","")))</f>
        <v/>
      </c>
      <c r="AM81" s="4" t="str">
        <f>IF($R$69=TRUE,
"EN 717-1:2004
EN 13999-2:2007
EN 13999-3:2007
EN 13999-4:2007
EN 12149:1997",IF(S69=TRUE,"NS-EN 15251: 2007
NS-EN 233:1999, 5.7 "&amp;" 
NS-EN 234:1997, 9.0
NS-EN 259-1:2001, 4.5 – 4.7",""))</f>
        <v/>
      </c>
      <c r="AN81" s="153"/>
      <c r="AO81" s="4" t="str">
        <f>IF($S$69=TRUE,"H2.",IF($R$69=TRUE,"4.a",IF($T$69=TRUE,"5.",IF($U$69=TRUE,"5.",""))))</f>
        <v/>
      </c>
      <c r="AP81" s="4" t="str">
        <f>IF(S69=TRUE,"Migrering av tungmetaller:
Antimon – ingen øvre grenseverdi, 
Arsen 25 mg/kg, Barium 500 mg/kg, 
Kadmium 25 mg/kg, Krom 60 mg/kg, Bly 90 mg/kg, 
Kvikksølv 20 mg/kg, Selen 165 mg/kg",IF($R$69=TRUE,"Produktet har en emisjonstest som viser at emisjoner av ammoniakk er under 0,03 mg/m²h",IF($T$69=TRUE,"Oktyl-nonylfenoler",IF($U$69=TRUE,"Oktyl-nonylfenoler",""))))</f>
        <v/>
      </c>
      <c r="AQ81" s="4" t="str">
        <f>IF($R$69=TRUE,"NS-EN 15251:2007",IF(S69=TRUE,"NS-EN 15102:2007, tabell 2, NS-EN 15251: 2007
NS-EN 233:1999, punkt 5.7 "&amp;" 
NS-EN 234:1997, punkt 9.0
NS-EN 259-1:2001, punkt 4.5 – 4.7",""))</f>
        <v/>
      </c>
      <c r="AR81" s="153"/>
      <c r="AS81" s="4" t="str">
        <f>IF($R$69=TRUE,"4.b",IF($T$69=TRUE,"6.",""))</f>
        <v/>
      </c>
      <c r="AT81" s="4" t="str">
        <f>IF(S69=TRUE,"Migrering av VCM:
Vinylkloridmonomer (VCM): Pass (innhold &lt; 0,2 mg/kg),",IF($R$69=TRUE,"Produktet har en emisjonstest som viser at misnøye med lukt er under 15 %. 
Gjelder kun hvis relevant for produktet",IF($T$69=TRUE,"Tris(2-kloretyl)fosfat (TCEP)","")))</f>
        <v/>
      </c>
      <c r="AU81" s="4" t="str">
        <f>IF($R$69=TRUE,"NS-EN 15251:2007",IF(S69=TRUE,"NS-EN 15251: 2007
NS-EN 233:1999, punkt 5.7 "&amp;" 
NS-EN 234:1997, punkt 9.0
NS-EN 259-1:2001, punkt 4.5 – 4.7",""))</f>
        <v/>
      </c>
      <c r="AV81" s="153"/>
      <c r="AW81" s="4" t="str">
        <f>IF($R$69=TRUE,"5.","")</f>
        <v/>
      </c>
      <c r="AX81" s="4" t="str">
        <f>IF(S69=TRUE,"Migrering av formaldehyd:
Pass (innhold &lt; 120 mg/kg).",IF($R$69=TRUE,"Produktet har en emisjonstest som viser at emisjoner av kreftfremkallende forbindelser (IARC) er under 0,005 mg/m²h",""))</f>
        <v/>
      </c>
      <c r="AY81" s="4" t="str">
        <f>IF($R$69=TRUE,"NS-EN 15251:2007","")</f>
        <v/>
      </c>
      <c r="AZ81" s="4"/>
      <c r="BA81" s="4" t="str">
        <f>IF($R$69=TRUE,"6.","")</f>
        <v/>
      </c>
      <c r="BB81" s="4" t="str">
        <f>IF($R$69=TRUE,"Produktet har en emisjonstest som viser at emisjoner av formaldehyd er under 0,05 mg/m²h","")</f>
        <v/>
      </c>
      <c r="BC81" s="4" t="str">
        <f>IF($R$69=TRUE,"NS-EN 15251:2007","")</f>
        <v/>
      </c>
      <c r="BD81" s="4"/>
      <c r="BE81" s="4" t="str">
        <f>IF($R$69=TRUE,"7.","")</f>
        <v/>
      </c>
      <c r="BF81" s="4" t="str">
        <f>IF($R$69=TRUE,"Testene i punkt 2 – 6 er utført iht. ISO 16000-serien med målinger gjort etter 28 dager","")</f>
        <v/>
      </c>
      <c r="BG81" s="4" t="str">
        <f>IF($R$69=TRUE,"ISO 16000","")</f>
        <v/>
      </c>
      <c r="BH81" s="4"/>
      <c r="BI81" s="4" t="str">
        <f>IF($R$69=TRUE,"8.","")</f>
        <v/>
      </c>
      <c r="BJ81" s="4" t="str">
        <f>IF($R$69=TRUE,"Undertegnede kan bekrefte fravær av regulerte treimpregneringsmidler og at minimumsnivå er overholdt","")</f>
        <v/>
      </c>
      <c r="BK81" s="4" t="str">
        <f>IF($R$69=TRUE,"NS-EN 13986:2002","")</f>
        <v/>
      </c>
      <c r="BL81" s="4"/>
      <c r="BM81" s="4"/>
      <c r="BN81" s="4"/>
      <c r="BO81" s="4"/>
      <c r="BP81" s="3"/>
      <c r="BQ81" s="3"/>
      <c r="BR81" s="3"/>
      <c r="BS81" s="3"/>
      <c r="BT81" s="3"/>
      <c r="BU81" s="35"/>
      <c r="BV81" s="35"/>
      <c r="BW81" s="35"/>
      <c r="BX81" s="35"/>
      <c r="BY81" s="35"/>
      <c r="BZ81" s="35"/>
      <c r="CA81" s="35"/>
      <c r="CB81" s="35"/>
      <c r="CC81" s="35"/>
      <c r="CD81" s="35"/>
      <c r="CE81" s="35"/>
      <c r="CF81" s="35"/>
      <c r="CG81" s="35"/>
      <c r="CH81" s="35"/>
      <c r="CI81" s="35"/>
      <c r="CJ81" s="35"/>
      <c r="CK81" s="35"/>
      <c r="CL81" s="35"/>
      <c r="CM81" s="35"/>
      <c r="CN81" s="35"/>
      <c r="CO81" s="35"/>
      <c r="CP81" s="35"/>
      <c r="CQ81" s="35"/>
      <c r="CR81" s="35"/>
      <c r="CS81" s="35"/>
      <c r="CT81" s="35"/>
      <c r="CU81" s="35"/>
      <c r="CV81" s="35"/>
      <c r="CW81" s="35"/>
      <c r="CX81" s="35"/>
      <c r="CY81" s="35"/>
      <c r="CZ81" s="35"/>
      <c r="DA81" s="35"/>
      <c r="DB81" s="35"/>
      <c r="DC81" s="35"/>
      <c r="DD81" s="35"/>
      <c r="DE81" s="35"/>
      <c r="DF81" s="35"/>
      <c r="DG81" s="35"/>
      <c r="DH81" s="35"/>
      <c r="DI81" s="35"/>
      <c r="DJ81" s="35"/>
      <c r="DK81" s="35"/>
      <c r="DL81" s="35"/>
      <c r="DM81" s="35"/>
      <c r="DN81" s="35"/>
      <c r="DO81" s="35"/>
      <c r="DP81" s="35"/>
      <c r="DQ81" s="35"/>
      <c r="DR81" s="35"/>
      <c r="DS81" s="35"/>
      <c r="DT81" s="35"/>
      <c r="DU81" s="35"/>
      <c r="DV81" s="35"/>
      <c r="DW81" s="35"/>
      <c r="DX81" s="35"/>
      <c r="DY81" s="35"/>
      <c r="DZ81" s="35"/>
      <c r="EA81" s="35"/>
      <c r="EB81" s="35"/>
      <c r="EC81" s="35"/>
      <c r="ED81" s="35"/>
      <c r="EE81" s="35"/>
      <c r="EF81" s="35"/>
      <c r="EG81" s="35"/>
    </row>
    <row r="82" spans="1:137" ht="15" customHeight="1">
      <c r="A82" s="14"/>
      <c r="B82" s="57"/>
      <c r="C82" s="51" t="str">
        <f>IF(AND(V5=2,R48=2),"Stoffer som skal unngås:",IF(AND(V5=3,R48=2),"Stoffer som skal unngås:",IF(AND(V5=2,R48=3),"Dokumentasjonskrav:",IF(OR(S62=TRUE,S63=TRUE,S64=TRUE,S65=TRUE,S66=TRUE,S67=TRUE,S68=TRUE,S69=TRUE,S70=TRUE,S71=TRUE),"Ytelseskrav:",""))))</f>
        <v/>
      </c>
      <c r="D82" s="57"/>
      <c r="E82" s="57"/>
      <c r="F82" s="57"/>
      <c r="G82" s="57"/>
      <c r="H82" s="57"/>
      <c r="I82" s="51" t="str">
        <f>IF(R48=1,"",IF(R48=2,"",IF(OR(S62=TRUE,S65=TRUE,S66=TRUE,S67=TRUE,S69=TRUE,S70=TRUE,S71=TRUE),"Godkjent ytelsesstandard:",IF(OR(S63=TRUE,S64=TRUE),"Samsvarende prøvestandard(er):",IF(S68=TRUE,"Godkjent prøvestandard:",IF(W59=TRUE,"","Standard:"))))))</f>
        <v/>
      </c>
      <c r="J82" s="57"/>
      <c r="K82" s="51" t="str">
        <f>IF(T84=TRUE,"Godkjent prøvestandard:",IF(K83="","",IF(AND(V5=2,R48=3,R60=7),"",IF(AND(V5=2,R48=3),"",IF(OR(S63=TRUE,S64=TRUE),"Øvrige prøvestandarder:","")))))</f>
        <v/>
      </c>
      <c r="L82" s="57"/>
      <c r="M82" s="68" t="str">
        <f>IF(R48=2,"Finnes stoffet i produktet?",IF(R48=3,"Ytelsen bekreftes:",""))</f>
        <v/>
      </c>
      <c r="N82" s="57"/>
      <c r="O82" s="51" t="str">
        <f>IF(R48=1,"","Kommentar (maks 135 tegn):")</f>
        <v/>
      </c>
      <c r="P82" s="57"/>
      <c r="Q82" s="57"/>
      <c r="R82" s="57"/>
      <c r="S82" s="57"/>
      <c r="T82" s="150" t="b">
        <f>IF(S69=TRUE,TRUE,FALSE)</f>
        <v>0</v>
      </c>
      <c r="U82" s="3" t="s">
        <v>136</v>
      </c>
      <c r="W82" s="7" t="str">
        <f>IF(R70=TRUE,"veggkledninger",IF(S70=TRUE,"fugemasser",IF(V70=TRUE,"lim","")))</f>
        <v/>
      </c>
      <c r="X82" s="7" t="str">
        <f>IF($R$70=TRUE,"1.",IF(S70=TRUE,"I.",IF($T$70=TRUE,"1.",IF($U$70=TRUE,"1.",IF(V70=TRUE,"1.","")))))</f>
        <v/>
      </c>
      <c r="Y82" s="7" t="str">
        <f>IF($R$70=TRUE,"Produktet har en emisjonstest som viser at emisjoner av TVOC er under 0,2 mg/m²h",IF($S$70=TRUE,"Grenseverdier for utslipp:",IF($T$70=TRUE,"Bisfenol A",IF($U$70=TRUE,"Bisfenol A",IF($V$70=TRUE,"Bisfenol A","")))))</f>
        <v/>
      </c>
      <c r="Z82" s="7" t="str">
        <f>IF($R$70=TRUE,"NS-EN 15251:2007","")</f>
        <v/>
      </c>
      <c r="AA82" s="152"/>
      <c r="AB82" s="4" t="str">
        <f>IF($R$70=TRUE,"2.",IF($T$70=TRUE,"2.",IF($U$70=TRUE,"2.",IF($V$70=TRUE,"2.",""))))</f>
        <v/>
      </c>
      <c r="AC82" s="4" t="str">
        <f>IF($S$70=TRUE,"TVOC: 60 μg/m³ etter 28 dager,",IF($R$70=TRUE,"Produktet har en emisjonstest som viser at emisjoner av formaldehyd er under 0,05 mg/m²h",IF($T$70=TRUE,"Ftalater (DEHP)",IF($U$70=TRUE,"Ftalatene DEHP, BBP og DBP",IF($V$70=TRUE,"Bly","")))))</f>
        <v/>
      </c>
      <c r="AD82" s="4" t="str">
        <f>IF(S70=TRUE,"NS-EN 15251:2007",IF($R$70=TRUE,"NS-EN 15251:2007",""))</f>
        <v/>
      </c>
      <c r="AE82" s="150"/>
      <c r="AF82" s="4" t="str">
        <f>IF($R$70=TRUE,"3.a",IF($T$70=TRUE,"3.",IF($U$70=TRUE,"3.",IF($V$70=TRUE,"3.",""))))</f>
        <v/>
      </c>
      <c r="AG82" s="4" t="str">
        <f>IF(S70=TRUE,"FORMALDEHYD: 50 μg/m³ etter 3 dager eller 104 μg/m³ etter 28 dager,",IF($R$70=TRUE,"Produktet har en emisjonstest som viser at emisjoner av ammoniakk er under 0,03 mg/m²h",IF($T$70=TRUE,"Klorparafiner",IF($U$70=TRUE,"Klorparafiner",IF($V$70=TRUE,"Klorerte parafiner","")))))</f>
        <v/>
      </c>
      <c r="AH82" s="4" t="str">
        <f>IF(S70=TRUE,"NS-EN 15251:2007",IF($R$70=TRUE,"NS-EN 15251:2007",""))</f>
        <v/>
      </c>
      <c r="AI82" s="153"/>
      <c r="AJ82" s="153"/>
      <c r="AK82" s="4" t="str">
        <f>IF($R$70=TRUE,"3.b",IF($T$70=TRUE,"4.",IF($U$70=TRUE,"4.",IF($V$70=TRUE,"4.",""))))</f>
        <v/>
      </c>
      <c r="AL82" s="4" t="str">
        <f>IF(S70=TRUE,"KREFTFREMKALLENDE: 1 μg/m³.",IF($R$70=TRUE,"Produktet har ikke en emisjonstest som måler emisjoner av ammoniakk, men undertegnede kan bekrefte at ammoniakk ikke er sporbart aktivt i produktet, og at produktet ikke inneholder stoffer som kan avspaltes til ammoniakk",IF($T$70=TRUE,"Krom",IF($U$70=TRUE,"Krom",IF($V$70=TRUE,"Krom","")))))</f>
        <v/>
      </c>
      <c r="AM82" s="4" t="str">
        <f>IF(S70=TRUE,"NS-EN 15251:2007 (tillegg C)",IF($R$70=TRUE,
"EN 717-1:2004
EN 13999-2:2007
EN 13999-3:2007
EN 13999-4:2007
EN 12149:1997",""))</f>
        <v/>
      </c>
      <c r="AN82" s="153"/>
      <c r="AO82" s="4" t="str">
        <f>IF($R$70=TRUE,"4.",IF($T$70=TRUE,"5.",IF($U$70=TRUE,"5.",IF($V$70=TRUE,"5.",""))))</f>
        <v/>
      </c>
      <c r="AP82" s="4" t="str">
        <f>IF($R$70=TRUE,"Produktet har en emisjonstest som viser at emisjoner av kreftfremkallende forbindelser (IARC) er under 0,005 mg/m²h",IF($T$70=TRUE,"Oktyl-nonylfenoler",IF($U$70=TRUE,"Oktyl-nonylfenoler",IF($V$70=TRUE,"Oktyl-nonylfenoler",""))))</f>
        <v/>
      </c>
      <c r="AQ82" s="4" t="str">
        <f>IF($R$70=TRUE,"NS-EN 15251:2007","")</f>
        <v/>
      </c>
      <c r="AR82" s="153"/>
      <c r="AS82" s="4" t="str">
        <f>IF($R$70=TRUE,"5.",IF($T$70=TRUE,"6.",IF($U$70=TRUE,"6.",IF($V$70=TRUE,"6.",""))))</f>
        <v/>
      </c>
      <c r="AT82" s="4" t="str">
        <f>IF($R$70=TRUE,"Produktet har en emisjonstest som viser at misnøye med lukt er under 15 %.",IF($T$70=TRUE,"Siloksan (D4 og D5)",IF($U$70=TRUE,"Siloksan (D5)",IF($V$70=TRUE,"Tris(2-kloretyl)fosfat (TCEP)",""))))</f>
        <v/>
      </c>
      <c r="AU82" s="4" t="str">
        <f>IF($R$70=TRUE,"NS-EN 15251:2007","")</f>
        <v/>
      </c>
      <c r="AV82" s="153"/>
      <c r="AW82" s="4" t="str">
        <f>IF($R$70=TRUE,"6.","")</f>
        <v/>
      </c>
      <c r="AX82" s="4" t="str">
        <f>IF($R$70=TRUE,"Testene i punkt 1 – 5 er utført iht. ISO 16000-serien med målinger gjort etter 28 dager","")</f>
        <v/>
      </c>
      <c r="AY82" s="4" t="str">
        <f>IF($R$70=TRUE,"ISO 16000","")</f>
        <v/>
      </c>
      <c r="AZ82" s="4"/>
      <c r="BA82" s="4" t="str">
        <f>IF($R$70=TRUE,"7.","")</f>
        <v/>
      </c>
      <c r="BB82" s="4" t="str">
        <f>IF($R$70=TRUE,"Utslippet av formaldehyd og VCM (vinylkloridmonomer) skal være lavt og innenfor EN-standarden for materialet","")</f>
        <v/>
      </c>
      <c r="BC82" s="4" t="str">
        <f>IF($R$70=TRUE,"EN 233:1999, EN 234:1989
EN 259:2001, EN 266:1992
EN 12149:1997","")</f>
        <v/>
      </c>
      <c r="BD82" s="4"/>
      <c r="BE82" s="4" t="str">
        <f>IF($R$70=TRUE,"8.","")</f>
        <v/>
      </c>
      <c r="BF82" s="4" t="str">
        <f>IF($R$70=TRUE,"Migrering av tungmetaller og andre giftige stoffer er innenfor EN-standarden for materialet","")</f>
        <v/>
      </c>
      <c r="BG82" s="4" t="str">
        <f>IF($R$70=TRUE,"EN 12149:1997","")</f>
        <v/>
      </c>
      <c r="BH82" s="4"/>
      <c r="BI82" s="4"/>
      <c r="BJ82" s="4"/>
      <c r="BK82" s="4"/>
      <c r="BL82" s="4"/>
      <c r="BM82" s="4"/>
      <c r="BN82" s="4"/>
      <c r="BO82" s="4"/>
      <c r="BU82" s="44"/>
      <c r="BV82" s="44"/>
      <c r="BW82" s="44"/>
      <c r="BX82" s="44"/>
      <c r="BY82" s="44"/>
      <c r="BZ82" s="44"/>
      <c r="CA82" s="44"/>
      <c r="CB82" s="44"/>
      <c r="CC82" s="44"/>
      <c r="CD82" s="44"/>
      <c r="CE82" s="44"/>
      <c r="CF82" s="44"/>
      <c r="CG82" s="44"/>
      <c r="CH82" s="44"/>
      <c r="CI82" s="44"/>
      <c r="CJ82" s="44"/>
      <c r="CK82" s="44"/>
      <c r="CL82" s="44"/>
      <c r="CM82" s="44"/>
      <c r="CN82" s="44"/>
      <c r="CO82" s="44"/>
      <c r="CP82" s="44"/>
      <c r="CQ82" s="44"/>
      <c r="CR82" s="44"/>
      <c r="CS82" s="44"/>
      <c r="CT82" s="44"/>
      <c r="CU82" s="44"/>
      <c r="CV82" s="44"/>
      <c r="CW82" s="44"/>
      <c r="CX82" s="44"/>
      <c r="CY82" s="44"/>
      <c r="CZ82" s="44"/>
      <c r="DA82" s="44"/>
      <c r="DB82" s="44"/>
      <c r="DC82" s="44"/>
      <c r="DD82" s="44"/>
      <c r="DE82" s="44"/>
      <c r="DF82" s="44"/>
      <c r="DG82" s="44"/>
      <c r="DH82" s="44"/>
      <c r="DI82" s="44"/>
      <c r="DJ82" s="44"/>
      <c r="DK82" s="44"/>
      <c r="DL82" s="44"/>
      <c r="DM82" s="44"/>
      <c r="DN82" s="44"/>
      <c r="DO82" s="44"/>
      <c r="DP82" s="44"/>
      <c r="DQ82" s="44"/>
      <c r="DR82" s="44"/>
      <c r="DS82" s="44"/>
      <c r="DT82" s="44"/>
      <c r="DU82" s="44"/>
      <c r="DV82" s="44"/>
      <c r="DW82" s="44"/>
      <c r="DX82" s="44"/>
      <c r="DY82" s="44"/>
      <c r="DZ82" s="44"/>
      <c r="EA82" s="44"/>
      <c r="EB82" s="44"/>
      <c r="EC82" s="44"/>
      <c r="ED82" s="44"/>
      <c r="EE82" s="44"/>
      <c r="EF82" s="44"/>
      <c r="EG82" s="44"/>
    </row>
    <row r="83" spans="1:137" ht="15" customHeight="1">
      <c r="A83" s="14"/>
      <c r="B83" s="57"/>
      <c r="C83" s="167" t="str">
        <f>IF($R$60=1,"",$X$73)</f>
        <v/>
      </c>
      <c r="D83" s="161" t="str">
        <f>IF($R$60=1,"",$Y$73)</f>
        <v/>
      </c>
      <c r="E83" s="161"/>
      <c r="F83" s="161"/>
      <c r="G83" s="162"/>
      <c r="H83" s="57"/>
      <c r="I83" s="182" t="str">
        <f>IF($R$60=1,"",$Z$73)</f>
        <v/>
      </c>
      <c r="J83" s="161"/>
      <c r="K83" s="161" t="str">
        <f>IF($R$60=1,"",$AA$73)</f>
        <v/>
      </c>
      <c r="L83" s="162"/>
      <c r="M83" s="57"/>
      <c r="N83" s="57"/>
      <c r="O83" s="173"/>
      <c r="P83" s="174"/>
      <c r="Q83" s="174"/>
      <c r="R83" s="175"/>
      <c r="S83" s="138" t="str">
        <f>IF(O83="","",LEN(O83)&amp;" tegn")</f>
        <v/>
      </c>
      <c r="T83" s="150" t="b">
        <f>IF(S62=TRUE,TRUE,FALSE)</f>
        <v>0</v>
      </c>
      <c r="U83" s="3" t="s">
        <v>135</v>
      </c>
      <c r="W83" s="3" t="str">
        <f>IF(S71=TRUE,"gulvprodukter",IF(T71=TRUE,"maling, beis og lakk",IF(U71=TRUE,"maling, beis og lakk",IF(V71=TRUE,"sparkel, fugemasse og -skum",""))))</f>
        <v/>
      </c>
      <c r="X83" s="7" t="str">
        <f>IF(S71=TRUE,"J.",IF($T$71=TRUE,"1.",IF($U$71=TRUE,"1.",IF(V71=TRUE,"1.",""))))</f>
        <v/>
      </c>
      <c r="Y83" s="7" t="str">
        <f>IF($T$71=TRUE,"Bisfenol A",IF($U$71=TRUE,"Bisfenol A",IF($S$71=TRUE,"Grenseverdier for utslipp for alle produkter:",IF($V$71=TRUE,"Bisfenol A",""))))</f>
        <v/>
      </c>
      <c r="Z83" s="7"/>
      <c r="AA83" s="152"/>
      <c r="AB83" s="4" t="str">
        <f>IF($T$71=TRUE,"2.",IF($U$71=TRUE,"2.",IF(V71=TRUE,"2.","")))</f>
        <v/>
      </c>
      <c r="AC83" s="4" t="str">
        <f>IF(S71=TRUE,"TVOC: 200 μg/m²h (160 μg/m³) etter 28 dager,",IF($T$71=TRUE,"Ftalat DEHP",IF($U$71=TRUE,"Ftalatene DEHP, BBP og DBP",IF($V$71=TRUE,"Ftalater (DEHP)",""))))</f>
        <v/>
      </c>
      <c r="AD83" s="4" t="str">
        <f>IF($S$71=TRUE,"NS-EN 15251:2007","")</f>
        <v/>
      </c>
      <c r="AE83" s="150"/>
      <c r="AF83" s="4" t="str">
        <f>IF($T$71=TRUE,"3.",IF($U$71=TRUE,"3.",IF(V71=TRUE,"3.","")))</f>
        <v/>
      </c>
      <c r="AG83" s="4" t="str">
        <f>IF(S71=TRUE,"FORMALDEHYD: 62 μg/m²h (50 μg/m³) etter 3 dager eller 50 μg/m²h (40 μg/m³) etter 28 dager,",IF($T$71=TRUE,"Klorparafiner",IF($U$71=TRUE,"Klorparafiner",IF($V$71=TRUE,"Klorerte parafiner",""))))</f>
        <v/>
      </c>
      <c r="AH83" s="4" t="str">
        <f>IF($S$71=TRUE,"NS-EN 15251:2007","")</f>
        <v/>
      </c>
      <c r="AI83" s="153"/>
      <c r="AJ83" s="153"/>
      <c r="AK83" s="4" t="str">
        <f>IF($T$71=TRUE,"4.",IF($U$71=TRUE,"4.",IF(V71=TRUE,"4.","")))</f>
        <v/>
      </c>
      <c r="AL83" s="4" t="str">
        <f>IF(S71=TRUE,"KREFTFREMKALLENDE: 5 μg/m² h (4 μg/m³).",IF($T$71=TRUE,"Krom",IF($U$71=TRUE,"Krom",IF($V$71=TRUE,"Krom",""))))</f>
        <v/>
      </c>
      <c r="AM83" s="4" t="str">
        <f>IF($S$71=TRUE,"NS-EN 15251:2007","")</f>
        <v/>
      </c>
      <c r="AN83" s="153"/>
      <c r="AO83" s="4" t="str">
        <f>IF($T$71=TRUE,"5.",IF($U$71=TRUE,"5.",IF(V71=TRUE,"5.","")))</f>
        <v/>
      </c>
      <c r="AP83" s="4" t="str">
        <f>IF($T$71=TRUE,"Oktyl-nonylfenoler",IF($U$71=TRUE,"Oktyl-nonylfenoler",IF($V$71=TRUE,"Oktyl-nonylfenol","")))</f>
        <v/>
      </c>
      <c r="AQ83" s="4"/>
      <c r="AR83" s="153"/>
      <c r="AS83" s="4" t="str">
        <f>IF($T$71=TRUE,"6.",IF($U$71=TRUE,"6.",IF(V71=TRUE,"6.","")))</f>
        <v/>
      </c>
      <c r="AT83" s="4" t="str">
        <f>IF($T$71=TRUE,"Siloksan (D4 og D5)",IF($U$71=TRUE,"Siloksan (D5)",IF($V$71=TRUE,"Siloksan (D4/D5)","")))</f>
        <v/>
      </c>
      <c r="AU83" s="4"/>
      <c r="AV83" s="153"/>
      <c r="AW83" s="4" t="str">
        <f>IF($T$71=TRUE,"7.",IF($U$71=TRUE,"7.",""))</f>
        <v/>
      </c>
      <c r="AX83" s="4" t="str">
        <f>IF($T$71=TRUE,"Kadmium",IF($U$71=TRUE,"Kadmium",""))</f>
        <v/>
      </c>
      <c r="BA83" s="4" t="str">
        <f>IF($T$71=TRUE,"8.",IF($U$71=TRUE,"8.",""))</f>
        <v/>
      </c>
      <c r="BB83" s="4" t="str">
        <f>IF($T$71=TRUE,"Bly",IF($U$71=TRUE,"Bly",""))</f>
        <v/>
      </c>
      <c r="BE83" s="4" t="str">
        <f>IF($T$71=TRUE,"9.","")</f>
        <v/>
      </c>
      <c r="BF83" s="4" t="str">
        <f>IF($T$71=TRUE,"Tris(2-kloretyl)fosfat (TCEP)","")</f>
        <v/>
      </c>
      <c r="BM83" s="4"/>
      <c r="BN83" s="4"/>
      <c r="BO83" s="4"/>
      <c r="BU83" s="44"/>
      <c r="BV83" s="44"/>
      <c r="BW83" s="44"/>
      <c r="BX83" s="44"/>
      <c r="BY83" s="44"/>
      <c r="BZ83" s="44"/>
      <c r="CA83" s="44"/>
      <c r="CB83" s="44"/>
      <c r="CC83" s="44"/>
      <c r="CD83" s="44"/>
      <c r="CE83" s="44"/>
      <c r="CF83" s="44"/>
      <c r="CG83" s="44"/>
      <c r="CH83" s="44"/>
      <c r="CI83" s="44"/>
      <c r="CJ83" s="44"/>
      <c r="CK83" s="44"/>
      <c r="CL83" s="44"/>
      <c r="CM83" s="44"/>
      <c r="CN83" s="44"/>
      <c r="CO83" s="44"/>
      <c r="CP83" s="44"/>
      <c r="CQ83" s="44"/>
      <c r="CR83" s="44"/>
      <c r="CS83" s="44"/>
      <c r="CT83" s="44"/>
      <c r="CU83" s="44"/>
      <c r="CV83" s="44"/>
      <c r="CW83" s="44"/>
      <c r="CX83" s="44"/>
      <c r="CY83" s="44"/>
      <c r="CZ83" s="44"/>
      <c r="DA83" s="44"/>
      <c r="DB83" s="44"/>
      <c r="DC83" s="44"/>
      <c r="DD83" s="44"/>
      <c r="DE83" s="44"/>
      <c r="DF83" s="44"/>
      <c r="DG83" s="44"/>
      <c r="DH83" s="44"/>
      <c r="DI83" s="44"/>
      <c r="DJ83" s="44"/>
      <c r="DK83" s="44"/>
      <c r="DL83" s="44"/>
      <c r="DM83" s="44"/>
      <c r="DN83" s="44"/>
      <c r="DO83" s="44"/>
      <c r="DP83" s="44"/>
      <c r="DQ83" s="44"/>
      <c r="DR83" s="44"/>
      <c r="DS83" s="44"/>
      <c r="DT83" s="44"/>
      <c r="DU83" s="44"/>
      <c r="DV83" s="44"/>
      <c r="DW83" s="44"/>
      <c r="DX83" s="44"/>
      <c r="DY83" s="44"/>
      <c r="DZ83" s="44"/>
      <c r="EA83" s="44"/>
      <c r="EB83" s="44"/>
      <c r="EC83" s="44"/>
      <c r="ED83" s="44"/>
      <c r="EE83" s="44"/>
      <c r="EF83" s="44"/>
      <c r="EG83" s="44"/>
    </row>
    <row r="84" spans="1:137" ht="15" customHeight="1">
      <c r="A84" s="14"/>
      <c r="B84" s="57"/>
      <c r="C84" s="168"/>
      <c r="D84" s="163"/>
      <c r="E84" s="163"/>
      <c r="F84" s="163"/>
      <c r="G84" s="164"/>
      <c r="H84" s="57"/>
      <c r="I84" s="183"/>
      <c r="J84" s="163"/>
      <c r="K84" s="163"/>
      <c r="L84" s="164"/>
      <c r="M84" s="72"/>
      <c r="N84" s="57"/>
      <c r="O84" s="176"/>
      <c r="P84" s="177"/>
      <c r="Q84" s="177"/>
      <c r="R84" s="178"/>
      <c r="S84" s="133"/>
      <c r="T84" s="150" t="b">
        <f>IF(OR(S65=TRUE,S66=TRUE,S67=TRUE,S68=TRUE,S69=TRUE,S70=TRUE,S71=TRUE),TRUE,FALSE)</f>
        <v>0</v>
      </c>
      <c r="U84" s="3" t="s">
        <v>134</v>
      </c>
      <c r="W84" s="3" t="str">
        <f>IF(V72=TRUE,"maling, beis og lakk","")</f>
        <v/>
      </c>
      <c r="X84" s="3" t="str">
        <f>IF(V72=TRUE,"1.","")</f>
        <v/>
      </c>
      <c r="Y84" s="3" t="str">
        <f>IF($V$72=TRUE,"Bisfenol A","")</f>
        <v/>
      </c>
      <c r="AA84" s="150"/>
      <c r="AB84" s="3" t="str">
        <f>IF(V72=TRUE,"2.","")</f>
        <v/>
      </c>
      <c r="AC84" s="3" t="str">
        <f>IF($V$72=TRUE,"Bly","")</f>
        <v/>
      </c>
      <c r="AE84" s="150"/>
      <c r="AF84" s="3" t="str">
        <f>IF(V72=TRUE,"3.","")</f>
        <v/>
      </c>
      <c r="AG84" s="3" t="str">
        <f>IF($V$72=TRUE,"Klorerte parafiner","")</f>
        <v/>
      </c>
      <c r="AI84" s="150"/>
      <c r="AJ84" s="150"/>
      <c r="AK84" s="3" t="str">
        <f>IF(V72=TRUE,"4.","")</f>
        <v/>
      </c>
      <c r="AL84" s="3" t="str">
        <f>IF($V$72=TRUE,"Kadmium","")</f>
        <v/>
      </c>
      <c r="AN84" s="150"/>
      <c r="AO84" s="3" t="str">
        <f>IF(V72=TRUE,"5.","")</f>
        <v/>
      </c>
      <c r="AP84" s="3" t="str">
        <f>IF($V$72=TRUE,"Oktyl-nonylfenol","")</f>
        <v/>
      </c>
      <c r="AR84" s="150"/>
      <c r="AS84" s="3" t="str">
        <f>IF(V72=TRUE,"6.","")</f>
        <v/>
      </c>
      <c r="AT84" s="3" t="str">
        <f>IF($V$72=TRUE,"Siloksan (D4/D5)","")</f>
        <v/>
      </c>
      <c r="AV84" s="150"/>
      <c r="AW84" s="3" t="str">
        <f>IF(V72=TRUE,"7.","")</f>
        <v/>
      </c>
      <c r="AX84" s="3" t="str">
        <f>IF($V$72=TRUE,"Krom","")</f>
        <v/>
      </c>
      <c r="BA84" s="3" t="str">
        <f>IF(V72=TRUE,"8.","")</f>
        <v/>
      </c>
      <c r="BB84" s="3" t="str">
        <f>IF($V$72=TRUE,"PFOS/PFOA/PFCA","")</f>
        <v/>
      </c>
      <c r="BE84" s="3" t="str">
        <f>IF(V72=TRUE,"9.","")</f>
        <v/>
      </c>
      <c r="BF84" s="3" t="str">
        <f>IF($V$72=TRUE,"Ftalater (DEHP)","")</f>
        <v/>
      </c>
      <c r="BM84" s="4"/>
      <c r="BN84" s="4"/>
      <c r="BO84" s="4"/>
      <c r="BU84" s="44"/>
      <c r="BV84" s="44"/>
      <c r="BW84" s="44"/>
      <c r="BX84" s="44"/>
      <c r="BY84" s="44"/>
      <c r="BZ84" s="44"/>
      <c r="CA84" s="44"/>
      <c r="CB84" s="44"/>
      <c r="CC84" s="44"/>
      <c r="CD84" s="44"/>
      <c r="CE84" s="44"/>
      <c r="CF84" s="44"/>
      <c r="CG84" s="44"/>
      <c r="CH84" s="44"/>
      <c r="CI84" s="44"/>
      <c r="CJ84" s="44"/>
      <c r="CK84" s="44"/>
      <c r="CL84" s="44"/>
      <c r="CM84" s="44"/>
      <c r="CN84" s="44"/>
      <c r="CO84" s="44"/>
      <c r="CP84" s="44"/>
      <c r="CQ84" s="44"/>
      <c r="CR84" s="44"/>
      <c r="CS84" s="44"/>
      <c r="CT84" s="44"/>
      <c r="CU84" s="44"/>
      <c r="CV84" s="44"/>
      <c r="CW84" s="44"/>
      <c r="CX84" s="44"/>
      <c r="CY84" s="44"/>
      <c r="CZ84" s="44"/>
      <c r="DA84" s="44"/>
      <c r="DB84" s="44"/>
      <c r="DC84" s="44"/>
      <c r="DD84" s="44"/>
      <c r="DE84" s="44"/>
      <c r="DF84" s="44"/>
      <c r="DG84" s="44"/>
      <c r="DH84" s="44"/>
      <c r="DI84" s="44"/>
      <c r="DJ84" s="44"/>
      <c r="DK84" s="44"/>
      <c r="DL84" s="44"/>
      <c r="DM84" s="44"/>
      <c r="DN84" s="44"/>
      <c r="DO84" s="44"/>
      <c r="DP84" s="44"/>
      <c r="DQ84" s="44"/>
      <c r="DR84" s="44"/>
      <c r="DS84" s="44"/>
      <c r="DT84" s="44"/>
      <c r="DU84" s="44"/>
      <c r="DV84" s="44"/>
      <c r="DW84" s="44"/>
      <c r="DX84" s="44"/>
      <c r="DY84" s="44"/>
      <c r="DZ84" s="44"/>
      <c r="EA84" s="44"/>
      <c r="EB84" s="44"/>
      <c r="EC84" s="44"/>
      <c r="ED84" s="44"/>
      <c r="EE84" s="44"/>
      <c r="EF84" s="44"/>
      <c r="EG84" s="44"/>
    </row>
    <row r="85" spans="1:137" ht="15" customHeight="1">
      <c r="A85" s="14"/>
      <c r="B85" s="57"/>
      <c r="C85" s="168"/>
      <c r="D85" s="163"/>
      <c r="E85" s="163"/>
      <c r="F85" s="163"/>
      <c r="G85" s="164"/>
      <c r="H85" s="57"/>
      <c r="I85" s="183"/>
      <c r="J85" s="163"/>
      <c r="K85" s="163"/>
      <c r="L85" s="164"/>
      <c r="M85" s="241" t="str">
        <f>IF(D83="","",IF(OR(T82=TRUE,T84=TRUE),"","JA"))</f>
        <v/>
      </c>
      <c r="N85" s="221" t="str">
        <f>IF(D83="","",IF(OR(T82=TRUE,T84=TRUE),"","NEI"))</f>
        <v/>
      </c>
      <c r="O85" s="176"/>
      <c r="P85" s="177"/>
      <c r="Q85" s="177"/>
      <c r="R85" s="178"/>
      <c r="S85" s="133"/>
      <c r="W85" s="28" t="str">
        <f>CONCATENATE(W74,W75,W76,W77,W78,W79,W80,W81,W82,W83,W84)</f>
        <v/>
      </c>
      <c r="X85" s="28" t="str">
        <f t="shared" ref="X85:BL85" si="2">CONCATENATE(X74,X75,X76,X77,X78,X79,X80,X81,X82,X83,X84)</f>
        <v/>
      </c>
      <c r="Y85" s="28" t="str">
        <f>CONCATENATE(Y74,Y75,Y76,Y77,Y78,Y79,Y80,Y81,Y82,Y83,Y84)</f>
        <v/>
      </c>
      <c r="Z85" s="28" t="str">
        <f t="shared" si="2"/>
        <v/>
      </c>
      <c r="AA85" s="28"/>
      <c r="AB85" s="28" t="str">
        <f t="shared" si="2"/>
        <v/>
      </c>
      <c r="AC85" s="28" t="str">
        <f t="shared" si="2"/>
        <v/>
      </c>
      <c r="AD85" s="28" t="str">
        <f t="shared" si="2"/>
        <v/>
      </c>
      <c r="AE85" s="28"/>
      <c r="AF85" s="28" t="str">
        <f t="shared" si="2"/>
        <v/>
      </c>
      <c r="AG85" s="28" t="str">
        <f t="shared" si="2"/>
        <v/>
      </c>
      <c r="AH85" s="28" t="str">
        <f t="shared" si="2"/>
        <v/>
      </c>
      <c r="AI85" s="28" t="str">
        <f t="shared" si="2"/>
        <v/>
      </c>
      <c r="AJ85" s="28" t="str">
        <f t="shared" si="2"/>
        <v/>
      </c>
      <c r="AK85" s="28" t="str">
        <f t="shared" si="2"/>
        <v/>
      </c>
      <c r="AL85" s="28" t="str">
        <f t="shared" si="2"/>
        <v/>
      </c>
      <c r="AM85" s="28" t="str">
        <f t="shared" si="2"/>
        <v/>
      </c>
      <c r="AN85" s="28" t="str">
        <f t="shared" si="2"/>
        <v/>
      </c>
      <c r="AO85" s="28" t="str">
        <f t="shared" si="2"/>
        <v/>
      </c>
      <c r="AP85" s="28" t="str">
        <f>CONCATENATE(AP74,AP75,AP76,AP77,AP78,AP79,AP80,AP81,AP82,AP83,AP84)</f>
        <v/>
      </c>
      <c r="AQ85" s="28" t="str">
        <f t="shared" si="2"/>
        <v/>
      </c>
      <c r="AR85" s="28" t="str">
        <f t="shared" si="2"/>
        <v/>
      </c>
      <c r="AS85" s="28" t="str">
        <f t="shared" si="2"/>
        <v/>
      </c>
      <c r="AT85" s="28" t="str">
        <f t="shared" si="2"/>
        <v/>
      </c>
      <c r="AU85" s="28" t="str">
        <f t="shared" si="2"/>
        <v/>
      </c>
      <c r="AV85" s="28" t="str">
        <f t="shared" si="2"/>
        <v/>
      </c>
      <c r="AW85" s="28" t="str">
        <f t="shared" si="2"/>
        <v/>
      </c>
      <c r="AX85" s="28" t="str">
        <f t="shared" si="2"/>
        <v/>
      </c>
      <c r="AY85" s="28" t="str">
        <f t="shared" si="2"/>
        <v/>
      </c>
      <c r="AZ85" s="28" t="str">
        <f t="shared" si="2"/>
        <v/>
      </c>
      <c r="BA85" s="28" t="str">
        <f t="shared" si="2"/>
        <v/>
      </c>
      <c r="BB85" s="28" t="str">
        <f>CONCATENATE(BB74,BB75,BB76,BB77,BB78,BB79,BB80,BB81,BB82,BB83,BB84)</f>
        <v/>
      </c>
      <c r="BC85" s="28" t="str">
        <f>CONCATENATE(BC74,BC75,BC76,BC77,BC78,BC79,BC80,BC81,BC82,BC83,BC84)</f>
        <v/>
      </c>
      <c r="BD85" s="28" t="str">
        <f t="shared" si="2"/>
        <v/>
      </c>
      <c r="BE85" s="28" t="str">
        <f t="shared" si="2"/>
        <v/>
      </c>
      <c r="BF85" s="28" t="str">
        <f t="shared" si="2"/>
        <v/>
      </c>
      <c r="BG85" s="28" t="str">
        <f t="shared" si="2"/>
        <v/>
      </c>
      <c r="BH85" s="28" t="str">
        <f t="shared" si="2"/>
        <v/>
      </c>
      <c r="BI85" s="28" t="str">
        <f t="shared" si="2"/>
        <v/>
      </c>
      <c r="BJ85" s="28" t="str">
        <f t="shared" si="2"/>
        <v/>
      </c>
      <c r="BK85" s="28" t="str">
        <f t="shared" si="2"/>
        <v/>
      </c>
      <c r="BL85" s="28" t="str">
        <f t="shared" si="2"/>
        <v/>
      </c>
      <c r="BM85" s="4"/>
      <c r="BN85" s="4"/>
      <c r="BO85" s="4"/>
      <c r="BU85" s="44"/>
      <c r="BV85" s="44"/>
      <c r="BW85" s="44"/>
      <c r="BX85" s="44"/>
      <c r="BY85" s="44"/>
      <c r="BZ85" s="44"/>
      <c r="CA85" s="44"/>
      <c r="CB85" s="44"/>
      <c r="CC85" s="44"/>
      <c r="CD85" s="44"/>
      <c r="CE85" s="44"/>
      <c r="CF85" s="44"/>
      <c r="CG85" s="44"/>
      <c r="CH85" s="44"/>
      <c r="CI85" s="44"/>
      <c r="CJ85" s="44"/>
      <c r="CK85" s="44"/>
      <c r="CL85" s="44"/>
      <c r="CM85" s="44"/>
      <c r="CN85" s="44"/>
      <c r="CO85" s="44"/>
      <c r="CP85" s="44"/>
      <c r="CQ85" s="44"/>
      <c r="CR85" s="44"/>
      <c r="CS85" s="44"/>
      <c r="CT85" s="44"/>
      <c r="CU85" s="44"/>
      <c r="CV85" s="44"/>
      <c r="CW85" s="44"/>
      <c r="CX85" s="44"/>
      <c r="CY85" s="44"/>
      <c r="CZ85" s="44"/>
      <c r="DA85" s="44"/>
      <c r="DB85" s="44"/>
      <c r="DC85" s="44"/>
      <c r="DD85" s="44"/>
      <c r="DE85" s="44"/>
      <c r="DF85" s="44"/>
      <c r="DG85" s="44"/>
      <c r="DH85" s="44"/>
      <c r="DI85" s="44"/>
      <c r="DJ85" s="44"/>
      <c r="DK85" s="44"/>
      <c r="DL85" s="44"/>
      <c r="DM85" s="44"/>
      <c r="DN85" s="44"/>
      <c r="DO85" s="44"/>
      <c r="DP85" s="44"/>
      <c r="DQ85" s="44"/>
      <c r="DR85" s="44"/>
      <c r="DS85" s="44"/>
      <c r="DT85" s="44"/>
      <c r="DU85" s="44"/>
      <c r="DV85" s="44"/>
      <c r="DW85" s="44"/>
      <c r="DX85" s="44"/>
      <c r="DY85" s="44"/>
      <c r="DZ85" s="44"/>
      <c r="EA85" s="44"/>
      <c r="EB85" s="44"/>
      <c r="EC85" s="44"/>
      <c r="ED85" s="44"/>
      <c r="EE85" s="44"/>
      <c r="EF85" s="44"/>
      <c r="EG85" s="44"/>
    </row>
    <row r="86" spans="1:137" ht="15" customHeight="1">
      <c r="A86" s="14"/>
      <c r="B86" s="57"/>
      <c r="C86" s="168"/>
      <c r="D86" s="163"/>
      <c r="E86" s="163"/>
      <c r="F86" s="163"/>
      <c r="G86" s="164"/>
      <c r="H86" s="57"/>
      <c r="I86" s="183"/>
      <c r="J86" s="163"/>
      <c r="K86" s="163"/>
      <c r="L86" s="164"/>
      <c r="M86" s="241"/>
      <c r="N86" s="221"/>
      <c r="O86" s="176"/>
      <c r="P86" s="177"/>
      <c r="Q86" s="177"/>
      <c r="R86" s="178"/>
      <c r="S86" s="133"/>
      <c r="W86" s="4"/>
      <c r="X86" s="4"/>
      <c r="Y86" s="4"/>
      <c r="Z86" s="4"/>
      <c r="AA86" s="4"/>
      <c r="AB86" s="4"/>
      <c r="AC86" s="4"/>
      <c r="AD86" s="4"/>
      <c r="AE86" s="4"/>
      <c r="AF86" s="4"/>
      <c r="AG86" s="4"/>
      <c r="AH86" s="4"/>
      <c r="AI86" s="4"/>
      <c r="AJ86" s="4"/>
      <c r="AK86" s="4"/>
      <c r="AL86" s="4"/>
      <c r="AM86" s="4"/>
      <c r="AN86" s="4"/>
      <c r="AO86" s="4"/>
      <c r="AP86" s="4"/>
      <c r="AQ86" s="4"/>
      <c r="AR86" s="4"/>
      <c r="AS86" s="4"/>
      <c r="AT86" s="4"/>
      <c r="AU86" s="4"/>
      <c r="AV86" s="4"/>
      <c r="AW86" s="4"/>
      <c r="AX86" s="4"/>
      <c r="AY86" s="4"/>
      <c r="AZ86" s="4"/>
      <c r="BA86" s="4"/>
      <c r="BB86" s="4"/>
      <c r="BC86" s="4"/>
      <c r="BD86" s="4"/>
      <c r="BE86" s="4"/>
      <c r="BF86" s="4"/>
      <c r="BG86" s="4"/>
      <c r="BH86" s="4"/>
      <c r="BI86" s="4"/>
      <c r="BJ86" s="4"/>
      <c r="BK86" s="4"/>
      <c r="BL86" s="4"/>
      <c r="BM86" s="4"/>
      <c r="BN86" s="4"/>
      <c r="BO86" s="4"/>
      <c r="BU86" s="44"/>
      <c r="BV86" s="44"/>
      <c r="BW86" s="44"/>
      <c r="BX86" s="44"/>
      <c r="BY86" s="44"/>
      <c r="BZ86" s="44"/>
      <c r="CA86" s="44"/>
      <c r="CB86" s="44"/>
      <c r="CC86" s="44"/>
      <c r="CD86" s="44"/>
      <c r="CE86" s="44"/>
      <c r="CF86" s="44"/>
      <c r="CG86" s="44"/>
      <c r="CH86" s="44"/>
      <c r="CI86" s="44"/>
      <c r="CJ86" s="44"/>
      <c r="CK86" s="44"/>
      <c r="CL86" s="44"/>
      <c r="CM86" s="44"/>
      <c r="CN86" s="44"/>
      <c r="CO86" s="44"/>
      <c r="CP86" s="44"/>
      <c r="CQ86" s="44"/>
      <c r="CR86" s="44"/>
      <c r="CS86" s="44"/>
      <c r="CT86" s="44"/>
      <c r="CU86" s="44"/>
      <c r="CV86" s="44"/>
      <c r="CW86" s="44"/>
      <c r="CX86" s="44"/>
      <c r="CY86" s="44"/>
      <c r="CZ86" s="44"/>
      <c r="DA86" s="44"/>
      <c r="DB86" s="44"/>
      <c r="DC86" s="44"/>
      <c r="DD86" s="44"/>
      <c r="DE86" s="44"/>
      <c r="DF86" s="44"/>
      <c r="DG86" s="44"/>
      <c r="DH86" s="44"/>
      <c r="DI86" s="44"/>
      <c r="DJ86" s="44"/>
      <c r="DK86" s="44"/>
      <c r="DL86" s="44"/>
      <c r="DM86" s="44"/>
      <c r="DN86" s="44"/>
      <c r="DO86" s="44"/>
      <c r="DP86" s="44"/>
      <c r="DQ86" s="44"/>
      <c r="DR86" s="44"/>
      <c r="DS86" s="44"/>
      <c r="DT86" s="44"/>
      <c r="DU86" s="44"/>
      <c r="DV86" s="44"/>
      <c r="DW86" s="44"/>
      <c r="DX86" s="44"/>
      <c r="DY86" s="44"/>
      <c r="DZ86" s="44"/>
      <c r="EA86" s="44"/>
      <c r="EB86" s="44"/>
      <c r="EC86" s="44"/>
      <c r="ED86" s="44"/>
      <c r="EE86" s="44"/>
      <c r="EF86" s="44"/>
      <c r="EG86" s="44"/>
    </row>
    <row r="87" spans="1:137" ht="15" customHeight="1">
      <c r="A87" s="14"/>
      <c r="B87" s="57"/>
      <c r="C87" s="168"/>
      <c r="D87" s="163"/>
      <c r="E87" s="163"/>
      <c r="F87" s="163"/>
      <c r="G87" s="164"/>
      <c r="H87" s="57"/>
      <c r="I87" s="183"/>
      <c r="J87" s="163"/>
      <c r="K87" s="163"/>
      <c r="L87" s="164"/>
      <c r="M87" s="57"/>
      <c r="N87" s="57"/>
      <c r="O87" s="176"/>
      <c r="P87" s="177"/>
      <c r="Q87" s="177"/>
      <c r="R87" s="178"/>
      <c r="S87" s="133"/>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c r="DD87" s="44"/>
      <c r="DE87" s="44"/>
      <c r="DF87" s="44"/>
      <c r="DG87" s="44"/>
      <c r="DH87" s="44"/>
      <c r="DI87" s="44"/>
      <c r="DJ87" s="44"/>
      <c r="DK87" s="44"/>
      <c r="DL87" s="44"/>
      <c r="DM87" s="44"/>
      <c r="DN87" s="44"/>
      <c r="DO87" s="44"/>
      <c r="DP87" s="44"/>
      <c r="DQ87" s="44"/>
      <c r="DR87" s="44"/>
      <c r="DS87" s="44"/>
      <c r="DT87" s="44"/>
      <c r="DU87" s="44"/>
      <c r="DV87" s="44"/>
      <c r="DW87" s="44"/>
      <c r="DX87" s="44"/>
      <c r="DY87" s="44"/>
      <c r="DZ87" s="44"/>
      <c r="EA87" s="44"/>
      <c r="EB87" s="44"/>
      <c r="EC87" s="44"/>
      <c r="ED87" s="44"/>
      <c r="EE87" s="44"/>
      <c r="EF87" s="44"/>
      <c r="EG87" s="44"/>
    </row>
    <row r="88" spans="1:137" ht="15" customHeight="1">
      <c r="A88" s="14"/>
      <c r="B88" s="57"/>
      <c r="C88" s="169"/>
      <c r="D88" s="165"/>
      <c r="E88" s="165"/>
      <c r="F88" s="165"/>
      <c r="G88" s="166"/>
      <c r="H88" s="57"/>
      <c r="I88" s="184"/>
      <c r="J88" s="165"/>
      <c r="K88" s="165"/>
      <c r="L88" s="166"/>
      <c r="M88" s="57"/>
      <c r="N88" s="57"/>
      <c r="O88" s="179"/>
      <c r="P88" s="180"/>
      <c r="Q88" s="180"/>
      <c r="R88" s="181"/>
      <c r="S88" s="133"/>
      <c r="T88" s="3">
        <v>2</v>
      </c>
      <c r="U88" s="60" t="str">
        <f>IF(D83="","",IF(OR(T82=TRUE,T83=TRUE,T84=TRUE),FALSE,IF(T88=1,TRUE,IF(T88=2,FALSE,"IR"))))</f>
        <v/>
      </c>
      <c r="V88" s="3">
        <f>IF(OR(T82=TRUE,T84=TRUE),0,IF(U88=TRUE,1,IF(U88=FALSE,1,0)))</f>
        <v>0</v>
      </c>
      <c r="W88" s="4" t="str">
        <f>IF(U88="","",IF(U88=TRUE,"Ja",IF(U88=FALSE,"Nei","Ikke relevant")))</f>
        <v/>
      </c>
      <c r="X88" s="4"/>
      <c r="Y88" s="4"/>
      <c r="Z88" s="21"/>
      <c r="AA88" s="21"/>
      <c r="AD88" s="22"/>
      <c r="AE88" s="22"/>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c r="DD88" s="44"/>
      <c r="DE88" s="44"/>
      <c r="DF88" s="44"/>
      <c r="DG88" s="44"/>
      <c r="DH88" s="44"/>
      <c r="DI88" s="44"/>
      <c r="DJ88" s="44"/>
      <c r="DK88" s="44"/>
      <c r="DL88" s="44"/>
      <c r="DM88" s="44"/>
      <c r="DN88" s="44"/>
      <c r="DO88" s="44"/>
      <c r="DP88" s="44"/>
      <c r="DQ88" s="44"/>
      <c r="DR88" s="44"/>
      <c r="DS88" s="44"/>
      <c r="DT88" s="44"/>
      <c r="DU88" s="44"/>
      <c r="DV88" s="44"/>
      <c r="DW88" s="44"/>
      <c r="DX88" s="44"/>
      <c r="DY88" s="44"/>
      <c r="DZ88" s="44"/>
      <c r="EA88" s="44"/>
      <c r="EB88" s="44"/>
      <c r="EC88" s="44"/>
      <c r="ED88" s="44"/>
      <c r="EE88" s="44"/>
      <c r="EF88" s="44"/>
      <c r="EG88" s="44"/>
    </row>
    <row r="89" spans="1:137" ht="15" customHeight="1">
      <c r="A89" s="14"/>
      <c r="B89" s="57"/>
      <c r="C89" s="57"/>
      <c r="D89" s="57"/>
      <c r="E89" s="57"/>
      <c r="F89" s="57"/>
      <c r="G89" s="57"/>
      <c r="H89" s="57"/>
      <c r="I89" s="57"/>
      <c r="J89" s="57"/>
      <c r="K89" s="57"/>
      <c r="L89" s="57"/>
      <c r="M89" s="57"/>
      <c r="N89" s="57"/>
      <c r="O89" s="57"/>
      <c r="P89" s="57"/>
      <c r="Q89" s="57"/>
      <c r="R89" s="57"/>
      <c r="S89" s="132" t="str">
        <f>IF(OR(T64=TRUE,U64=TRUE,T65=TRUE,U65=TRUE,T68=TRUE,U68=TRUE,V64=TRUE,V69=TRUE),"Til utskrift","")</f>
        <v/>
      </c>
      <c r="X89" s="42" t="b">
        <f>IF(D83="",FALSE,TRUE)</f>
        <v>0</v>
      </c>
      <c r="Y89" s="42" t="b">
        <f>IF(I83="",FALSE,TRUE)</f>
        <v>0</v>
      </c>
      <c r="Z89" s="42" t="b">
        <f>IF(K83="",FALSE,TRUE)</f>
        <v>0</v>
      </c>
      <c r="AA89" s="42" t="b">
        <f>IF(Y89=FALSE,FALSE,OR(Y89,Z89))</f>
        <v>0</v>
      </c>
      <c r="BU89" s="87"/>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c r="DD89" s="44"/>
      <c r="DE89" s="44"/>
      <c r="DF89" s="44"/>
      <c r="DG89" s="44"/>
      <c r="DH89" s="44"/>
      <c r="DI89" s="44"/>
      <c r="DJ89" s="44"/>
      <c r="DK89" s="44"/>
      <c r="DL89" s="44"/>
      <c r="DM89" s="44"/>
      <c r="DN89" s="44"/>
      <c r="DO89" s="44"/>
      <c r="DP89" s="44"/>
      <c r="DQ89" s="44"/>
      <c r="DR89" s="44"/>
      <c r="DS89" s="44"/>
      <c r="DT89" s="44"/>
      <c r="DU89" s="44"/>
      <c r="DV89" s="44"/>
      <c r="DW89" s="44"/>
      <c r="DX89" s="44"/>
      <c r="DY89" s="44"/>
      <c r="DZ89" s="44"/>
      <c r="EA89" s="44"/>
      <c r="EB89" s="44"/>
      <c r="EC89" s="44"/>
      <c r="ED89" s="44"/>
      <c r="EE89" s="44"/>
      <c r="EF89" s="44"/>
      <c r="EG89" s="44"/>
    </row>
    <row r="90" spans="1:137" ht="15" customHeight="1">
      <c r="A90" s="14"/>
      <c r="B90" s="57"/>
      <c r="C90" s="167" t="str">
        <f>IF($R$60=1,"",$AB$73)</f>
        <v/>
      </c>
      <c r="D90" s="161" t="str">
        <f>IF($R$60=1,"",$AC$73)</f>
        <v/>
      </c>
      <c r="E90" s="161"/>
      <c r="F90" s="161"/>
      <c r="G90" s="162"/>
      <c r="H90" s="57"/>
      <c r="I90" s="182" t="str">
        <f>IF($R$60=1,"",$AD$73)</f>
        <v/>
      </c>
      <c r="J90" s="161"/>
      <c r="K90" s="161" t="str">
        <f>IF($R$60=1,"",$AE$73)</f>
        <v/>
      </c>
      <c r="L90" s="162"/>
      <c r="M90" s="57"/>
      <c r="N90" s="57"/>
      <c r="O90" s="173"/>
      <c r="P90" s="174"/>
      <c r="Q90" s="174"/>
      <c r="R90" s="175"/>
      <c r="S90" s="138" t="str">
        <f>IF(O90="","",LEN(O90)&amp;" tegn")</f>
        <v/>
      </c>
      <c r="X90" s="42" t="b">
        <f>IF(D90="",FALSE,TRUE)</f>
        <v>0</v>
      </c>
      <c r="Y90" s="42" t="b">
        <f>IF(I90="",FALSE,TRUE)</f>
        <v>0</v>
      </c>
      <c r="Z90" s="42" t="b">
        <f>IF(K90="",FALSE,TRUE)</f>
        <v>0</v>
      </c>
      <c r="AA90" s="42" t="b">
        <f>IF(Y90=FALSE,FALSE,OR(Y90,Z90))</f>
        <v>0</v>
      </c>
      <c r="AD90" s="22"/>
      <c r="AE90" s="22"/>
      <c r="AF90" s="22"/>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c r="DD90" s="44"/>
      <c r="DE90" s="44"/>
      <c r="DF90" s="44"/>
      <c r="DG90" s="44"/>
      <c r="DH90" s="44"/>
      <c r="DI90" s="44"/>
      <c r="DJ90" s="44"/>
      <c r="DK90" s="44"/>
      <c r="DL90" s="44"/>
      <c r="DM90" s="44"/>
      <c r="DN90" s="44"/>
      <c r="DO90" s="44"/>
      <c r="DP90" s="44"/>
      <c r="DQ90" s="44"/>
      <c r="DR90" s="44"/>
      <c r="DS90" s="44"/>
      <c r="DT90" s="44"/>
      <c r="DU90" s="44"/>
      <c r="DV90" s="44"/>
      <c r="DW90" s="44"/>
      <c r="DX90" s="44"/>
      <c r="DY90" s="44"/>
      <c r="DZ90" s="44"/>
      <c r="EA90" s="44"/>
      <c r="EB90" s="44"/>
      <c r="EC90" s="44"/>
      <c r="ED90" s="44"/>
      <c r="EE90" s="44"/>
      <c r="EF90" s="44"/>
      <c r="EG90" s="44"/>
    </row>
    <row r="91" spans="1:137" ht="15" customHeight="1">
      <c r="A91" s="14"/>
      <c r="B91" s="57"/>
      <c r="C91" s="168"/>
      <c r="D91" s="163"/>
      <c r="E91" s="163"/>
      <c r="F91" s="163"/>
      <c r="G91" s="164"/>
      <c r="H91" s="57"/>
      <c r="I91" s="183"/>
      <c r="J91" s="163"/>
      <c r="K91" s="163"/>
      <c r="L91" s="164"/>
      <c r="M91" s="57"/>
      <c r="N91" s="57"/>
      <c r="O91" s="176"/>
      <c r="P91" s="177"/>
      <c r="Q91" s="177"/>
      <c r="R91" s="178"/>
      <c r="S91" s="133"/>
      <c r="X91" s="42" t="b">
        <f>IF(D97="",FALSE,TRUE)</f>
        <v>0</v>
      </c>
      <c r="Y91" s="42" t="b">
        <f>IF(I97="",FALSE,TRUE)</f>
        <v>0</v>
      </c>
      <c r="Z91" s="42" t="b">
        <f>IF(K97="",FALSE,TRUE)</f>
        <v>0</v>
      </c>
      <c r="AA91" s="3" t="b">
        <v>0</v>
      </c>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c r="DD91" s="44"/>
      <c r="DE91" s="44"/>
      <c r="DF91" s="44"/>
      <c r="DG91" s="44"/>
      <c r="DH91" s="44"/>
      <c r="DI91" s="44"/>
      <c r="DJ91" s="44"/>
      <c r="DK91" s="44"/>
      <c r="DL91" s="44"/>
      <c r="DM91" s="44"/>
      <c r="DN91" s="44"/>
      <c r="DO91" s="44"/>
      <c r="DP91" s="44"/>
      <c r="DQ91" s="44"/>
      <c r="DR91" s="44"/>
      <c r="DS91" s="44"/>
      <c r="DT91" s="44"/>
      <c r="DU91" s="44"/>
      <c r="DV91" s="44"/>
      <c r="DW91" s="44"/>
      <c r="DX91" s="44"/>
      <c r="DY91" s="44"/>
      <c r="DZ91" s="44"/>
      <c r="EA91" s="44"/>
      <c r="EB91" s="44"/>
      <c r="EC91" s="44"/>
      <c r="ED91" s="44"/>
      <c r="EE91" s="44"/>
      <c r="EF91" s="44"/>
      <c r="EG91" s="44"/>
    </row>
    <row r="92" spans="1:137" ht="15" customHeight="1">
      <c r="A92" s="14"/>
      <c r="B92" s="57"/>
      <c r="C92" s="168"/>
      <c r="D92" s="163"/>
      <c r="E92" s="163"/>
      <c r="F92" s="163"/>
      <c r="G92" s="164"/>
      <c r="H92" s="57"/>
      <c r="I92" s="183"/>
      <c r="J92" s="163"/>
      <c r="K92" s="163"/>
      <c r="L92" s="164"/>
      <c r="M92" s="241" t="str">
        <f>IF(D90="","",IF(S62=TRUE,"","JA"))</f>
        <v/>
      </c>
      <c r="N92" s="221" t="str">
        <f>IF(D90="","",IF(S62=TRUE,"","NEI"))</f>
        <v/>
      </c>
      <c r="O92" s="176"/>
      <c r="P92" s="177"/>
      <c r="Q92" s="177"/>
      <c r="R92" s="178"/>
      <c r="S92" s="133"/>
      <c r="T92" s="3">
        <v>2</v>
      </c>
      <c r="U92" s="60" t="str">
        <f>IF(D90="","",IF(S62=TRUE,FALSE,IF(T92=1,TRUE,IF(T92=2,FALSE,"IR"))))</f>
        <v/>
      </c>
      <c r="V92" s="3">
        <f>IF(W97=TRUE,0,IF(U92=TRUE,1,IF(U92=FALSE,1,0)))</f>
        <v>0</v>
      </c>
      <c r="W92" s="3" t="str">
        <f>IF(U92="","",IF(W97=TRUE,"",IF(U92=TRUE,"Ja",IF(U92=FALSE,"Nei","Ikke relevant"))))</f>
        <v/>
      </c>
      <c r="X92" s="42" t="b">
        <f>IF(D104="",FALSE,TRUE)</f>
        <v>0</v>
      </c>
      <c r="Y92" s="42" t="b">
        <f>IF(I104="",FALSE,TRUE)</f>
        <v>0</v>
      </c>
      <c r="Z92" s="42" t="b">
        <f>IF(K104="",FALSE,TRUE)</f>
        <v>0</v>
      </c>
      <c r="AA92" s="42" t="b">
        <f>IF(Y92=FALSE,FALSE,OR(Y92,Z92))</f>
        <v>0</v>
      </c>
      <c r="BU92" s="87"/>
      <c r="BV92" s="44"/>
      <c r="BW92" s="44"/>
      <c r="BX92" s="44"/>
      <c r="BY92" s="44"/>
      <c r="BZ92" s="44"/>
      <c r="CA92" s="44"/>
      <c r="CB92" s="44"/>
      <c r="CC92" s="44"/>
      <c r="CD92" s="44"/>
      <c r="CE92" s="44"/>
      <c r="CF92" s="44"/>
      <c r="CG92" s="44"/>
      <c r="CH92" s="44"/>
      <c r="CI92" s="44"/>
      <c r="CJ92" s="44"/>
      <c r="CK92" s="44"/>
      <c r="CL92" s="44"/>
      <c r="CM92" s="44"/>
      <c r="CN92" s="44"/>
      <c r="CO92" s="44"/>
      <c r="CP92" s="44"/>
      <c r="CQ92" s="44"/>
      <c r="CR92" s="44"/>
      <c r="CS92" s="44"/>
      <c r="CT92" s="44"/>
      <c r="CU92" s="44"/>
      <c r="CV92" s="44"/>
      <c r="CW92" s="44"/>
      <c r="CX92" s="44"/>
      <c r="CY92" s="44"/>
      <c r="CZ92" s="44"/>
      <c r="DA92" s="44"/>
      <c r="DB92" s="44"/>
      <c r="DC92" s="44"/>
      <c r="DD92" s="44"/>
      <c r="DE92" s="44"/>
      <c r="DF92" s="44"/>
      <c r="DG92" s="44"/>
      <c r="DH92" s="44"/>
      <c r="DI92" s="44"/>
      <c r="DJ92" s="44"/>
      <c r="DK92" s="44"/>
      <c r="DL92" s="44"/>
      <c r="DM92" s="44"/>
      <c r="DN92" s="44"/>
      <c r="DO92" s="44"/>
      <c r="DP92" s="44"/>
      <c r="DQ92" s="44"/>
      <c r="DR92" s="44"/>
      <c r="DS92" s="44"/>
      <c r="DT92" s="44"/>
      <c r="DU92" s="44"/>
      <c r="DV92" s="44"/>
      <c r="DW92" s="44"/>
      <c r="DX92" s="44"/>
      <c r="DY92" s="44"/>
      <c r="DZ92" s="44"/>
      <c r="EA92" s="44"/>
      <c r="EB92" s="44"/>
      <c r="EC92" s="44"/>
      <c r="ED92" s="44"/>
      <c r="EE92" s="44"/>
      <c r="EF92" s="44"/>
      <c r="EG92" s="44"/>
    </row>
    <row r="93" spans="1:137" ht="15.75">
      <c r="A93" s="14"/>
      <c r="B93" s="57"/>
      <c r="C93" s="168"/>
      <c r="D93" s="163"/>
      <c r="E93" s="163"/>
      <c r="F93" s="163"/>
      <c r="G93" s="164"/>
      <c r="H93" s="57"/>
      <c r="I93" s="183"/>
      <c r="J93" s="163"/>
      <c r="K93" s="163"/>
      <c r="L93" s="164"/>
      <c r="M93" s="241"/>
      <c r="N93" s="221"/>
      <c r="O93" s="176"/>
      <c r="P93" s="177"/>
      <c r="Q93" s="177"/>
      <c r="R93" s="178"/>
      <c r="S93" s="133"/>
      <c r="X93" s="42" t="b">
        <f>IF(D111="",FALSE,TRUE)</f>
        <v>0</v>
      </c>
      <c r="Y93" s="42" t="b">
        <f>IF(I111="",FALSE,TRUE)</f>
        <v>0</v>
      </c>
      <c r="Z93" s="42" t="b">
        <f>IF(K111="",FALSE,TRUE)</f>
        <v>0</v>
      </c>
      <c r="AA93" s="3" t="b">
        <v>0</v>
      </c>
      <c r="BU93" s="44"/>
      <c r="BV93" s="44"/>
      <c r="BW93" s="44"/>
      <c r="BX93" s="44"/>
      <c r="BY93" s="44"/>
      <c r="BZ93" s="44"/>
      <c r="CA93" s="44"/>
      <c r="CB93" s="44"/>
      <c r="CC93" s="44"/>
      <c r="CD93" s="44"/>
      <c r="CE93" s="44"/>
      <c r="CF93" s="44"/>
      <c r="CG93" s="44"/>
      <c r="CH93" s="44"/>
      <c r="CI93" s="44"/>
      <c r="CJ93" s="44"/>
      <c r="CK93" s="44"/>
      <c r="CL93" s="44"/>
      <c r="CM93" s="44"/>
      <c r="CN93" s="44"/>
      <c r="CO93" s="44"/>
      <c r="CP93" s="44"/>
      <c r="CQ93" s="44"/>
      <c r="CR93" s="44"/>
      <c r="CS93" s="44"/>
      <c r="CT93" s="44"/>
      <c r="CU93" s="44"/>
      <c r="CV93" s="44"/>
      <c r="CW93" s="44"/>
      <c r="CX93" s="44"/>
      <c r="CY93" s="44"/>
      <c r="CZ93" s="44"/>
      <c r="DA93" s="44"/>
      <c r="DB93" s="44"/>
      <c r="DC93" s="44"/>
      <c r="DD93" s="44"/>
      <c r="DE93" s="44"/>
      <c r="DF93" s="44"/>
      <c r="DG93" s="44"/>
      <c r="DH93" s="44"/>
      <c r="DI93" s="44"/>
      <c r="DJ93" s="44"/>
      <c r="DK93" s="44"/>
      <c r="DL93" s="44"/>
      <c r="DM93" s="44"/>
      <c r="DN93" s="44"/>
      <c r="DO93" s="44"/>
      <c r="DP93" s="44"/>
      <c r="DQ93" s="44"/>
      <c r="DR93" s="44"/>
      <c r="DS93" s="44"/>
      <c r="DT93" s="44"/>
      <c r="DU93" s="44"/>
      <c r="DV93" s="44"/>
      <c r="DW93" s="44"/>
      <c r="DX93" s="44"/>
      <c r="DY93" s="44"/>
      <c r="DZ93" s="44"/>
      <c r="EA93" s="44"/>
      <c r="EB93" s="44"/>
      <c r="EC93" s="44"/>
      <c r="ED93" s="44"/>
      <c r="EE93" s="44"/>
      <c r="EF93" s="44"/>
      <c r="EG93" s="44"/>
    </row>
    <row r="94" spans="1:137" ht="15.75">
      <c r="A94" s="14"/>
      <c r="B94" s="57"/>
      <c r="C94" s="168"/>
      <c r="D94" s="163"/>
      <c r="E94" s="163"/>
      <c r="F94" s="163"/>
      <c r="G94" s="164"/>
      <c r="H94" s="57"/>
      <c r="I94" s="183"/>
      <c r="J94" s="163"/>
      <c r="K94" s="163"/>
      <c r="L94" s="164"/>
      <c r="M94" s="57"/>
      <c r="N94" s="57"/>
      <c r="O94" s="176"/>
      <c r="P94" s="177"/>
      <c r="Q94" s="177"/>
      <c r="R94" s="178"/>
      <c r="S94" s="133"/>
      <c r="X94" s="42" t="b">
        <f>IF(D118="",FALSE,TRUE)</f>
        <v>0</v>
      </c>
      <c r="Y94" s="42" t="b">
        <f>IF(I118="",FALSE,TRUE)</f>
        <v>0</v>
      </c>
      <c r="Z94" s="42" t="b">
        <f>IF(K118="",FALSE,TRUE)</f>
        <v>0</v>
      </c>
      <c r="AA94" s="3" t="b">
        <v>0</v>
      </c>
      <c r="BU94" s="44"/>
      <c r="BV94" s="44"/>
      <c r="BW94" s="44"/>
      <c r="BX94" s="44"/>
      <c r="BY94" s="44"/>
      <c r="BZ94" s="44"/>
      <c r="CA94" s="44"/>
      <c r="CB94" s="44"/>
      <c r="CC94" s="44"/>
      <c r="CD94" s="44"/>
      <c r="CE94" s="44"/>
      <c r="CF94" s="44"/>
      <c r="CG94" s="44"/>
      <c r="CH94" s="44"/>
      <c r="CI94" s="44"/>
      <c r="CJ94" s="44"/>
      <c r="CK94" s="44"/>
      <c r="CL94" s="44"/>
      <c r="CM94" s="44"/>
      <c r="CN94" s="44"/>
      <c r="CO94" s="44"/>
      <c r="CP94" s="44"/>
      <c r="CQ94" s="44"/>
      <c r="CR94" s="44"/>
      <c r="CS94" s="44"/>
      <c r="CT94" s="44"/>
      <c r="CU94" s="44"/>
      <c r="CV94" s="44"/>
      <c r="CW94" s="44"/>
      <c r="CX94" s="44"/>
      <c r="CY94" s="44"/>
      <c r="CZ94" s="44"/>
      <c r="DA94" s="44"/>
      <c r="DB94" s="44"/>
      <c r="DC94" s="44"/>
      <c r="DD94" s="44"/>
      <c r="DE94" s="44"/>
      <c r="DF94" s="44"/>
      <c r="DG94" s="44"/>
      <c r="DH94" s="44"/>
      <c r="DI94" s="44"/>
      <c r="DJ94" s="44"/>
      <c r="DK94" s="44"/>
      <c r="DL94" s="44"/>
      <c r="DM94" s="44"/>
      <c r="DN94" s="44"/>
      <c r="DO94" s="44"/>
      <c r="DP94" s="44"/>
      <c r="DQ94" s="44"/>
      <c r="DR94" s="44"/>
      <c r="DS94" s="44"/>
      <c r="DT94" s="44"/>
      <c r="DU94" s="44"/>
      <c r="DV94" s="44"/>
      <c r="DW94" s="44"/>
      <c r="DX94" s="44"/>
      <c r="DY94" s="44"/>
      <c r="DZ94" s="44"/>
      <c r="EA94" s="44"/>
      <c r="EB94" s="44"/>
      <c r="EC94" s="44"/>
      <c r="ED94" s="44"/>
      <c r="EE94" s="44"/>
      <c r="EF94" s="44"/>
      <c r="EG94" s="44"/>
    </row>
    <row r="95" spans="1:137" ht="15.75">
      <c r="A95" s="14"/>
      <c r="B95" s="57"/>
      <c r="C95" s="169"/>
      <c r="D95" s="165"/>
      <c r="E95" s="165"/>
      <c r="F95" s="165"/>
      <c r="G95" s="166"/>
      <c r="H95" s="57"/>
      <c r="I95" s="184"/>
      <c r="J95" s="165"/>
      <c r="K95" s="165"/>
      <c r="L95" s="166"/>
      <c r="M95" s="57"/>
      <c r="N95" s="57"/>
      <c r="O95" s="179"/>
      <c r="P95" s="180"/>
      <c r="Q95" s="180"/>
      <c r="R95" s="181"/>
      <c r="S95" s="132" t="str">
        <f>IF(R67=TRUE,"Til deklarering","")</f>
        <v/>
      </c>
      <c r="W95" s="60" t="b">
        <f>IF(AND($V$5=3,$R$48=3,$R$60=2),TRUE,FALSE)</f>
        <v>0</v>
      </c>
      <c r="X95" s="42" t="b">
        <f>IF(D125="",FALSE,TRUE)</f>
        <v>0</v>
      </c>
      <c r="Y95" s="42" t="b">
        <f>IF(I125="",FALSE,TRUE)</f>
        <v>0</v>
      </c>
      <c r="Z95" s="42" t="b">
        <f>IF(K125="",FALSE,TRUE)</f>
        <v>0</v>
      </c>
      <c r="AA95" s="3" t="b">
        <v>0</v>
      </c>
      <c r="BU95" s="44"/>
      <c r="BV95" s="44"/>
      <c r="BW95" s="44"/>
      <c r="BX95" s="44"/>
      <c r="BY95" s="44"/>
      <c r="BZ95" s="44"/>
      <c r="CA95" s="44"/>
      <c r="CB95" s="44"/>
      <c r="CC95" s="44"/>
      <c r="CD95" s="44"/>
      <c r="CE95" s="44"/>
      <c r="CF95" s="44"/>
      <c r="CG95" s="44"/>
      <c r="CH95" s="44"/>
      <c r="CI95" s="44"/>
      <c r="CJ95" s="44"/>
      <c r="CK95" s="44"/>
      <c r="CL95" s="44"/>
      <c r="CM95" s="44"/>
      <c r="CN95" s="44"/>
      <c r="CO95" s="44"/>
      <c r="CP95" s="44"/>
      <c r="CQ95" s="44"/>
      <c r="CR95" s="44"/>
      <c r="CS95" s="44"/>
      <c r="CT95" s="44"/>
      <c r="CU95" s="44"/>
      <c r="CV95" s="44"/>
      <c r="CW95" s="44"/>
      <c r="CX95" s="44"/>
      <c r="CY95" s="44"/>
      <c r="CZ95" s="44"/>
      <c r="DA95" s="44"/>
      <c r="DB95" s="44"/>
      <c r="DC95" s="44"/>
      <c r="DD95" s="44"/>
      <c r="DE95" s="44"/>
      <c r="DF95" s="44"/>
      <c r="DG95" s="44"/>
      <c r="DH95" s="44"/>
      <c r="DI95" s="44"/>
      <c r="DJ95" s="44"/>
      <c r="DK95" s="44"/>
      <c r="DL95" s="44"/>
      <c r="DM95" s="44"/>
      <c r="DN95" s="44"/>
      <c r="DO95" s="44"/>
      <c r="DP95" s="44"/>
      <c r="DQ95" s="44"/>
      <c r="DR95" s="44"/>
      <c r="DS95" s="44"/>
      <c r="DT95" s="44"/>
      <c r="DU95" s="44"/>
      <c r="DV95" s="44"/>
      <c r="DW95" s="44"/>
      <c r="DX95" s="44"/>
      <c r="DY95" s="44"/>
      <c r="DZ95" s="44"/>
      <c r="EA95" s="44"/>
      <c r="EB95" s="44"/>
      <c r="EC95" s="44"/>
      <c r="ED95" s="44"/>
      <c r="EE95" s="44"/>
      <c r="EF95" s="44"/>
      <c r="EG95" s="44"/>
    </row>
    <row r="96" spans="1:137" ht="16.5" thickBot="1">
      <c r="A96" s="14"/>
      <c r="B96" s="57"/>
      <c r="C96" s="57"/>
      <c r="D96" s="57"/>
      <c r="E96" s="57"/>
      <c r="F96" s="57"/>
      <c r="G96" s="57"/>
      <c r="H96" s="57"/>
      <c r="I96" s="57"/>
      <c r="J96" s="57"/>
      <c r="K96" s="57"/>
      <c r="L96" s="57"/>
      <c r="M96" s="57"/>
      <c r="N96" s="57"/>
      <c r="O96" s="57"/>
      <c r="P96" s="57"/>
      <c r="Q96" s="57"/>
      <c r="R96" s="57"/>
      <c r="S96" s="131" t="str">
        <f>IF(OR(S63=TRUE,S64=TRUE),"Til utskrift","")</f>
        <v/>
      </c>
      <c r="W96" s="60" t="b">
        <f>IF(OR(U92="",U102=""),TRUE,OR(U92,U102))</f>
        <v>1</v>
      </c>
      <c r="X96" s="42" t="b">
        <f>IF(D132="",FALSE,TRUE)</f>
        <v>0</v>
      </c>
      <c r="Y96" s="42" t="b">
        <f>IF(I132="",FALSE,TRUE)</f>
        <v>0</v>
      </c>
      <c r="Z96" s="42" t="b">
        <f>IF(K132="",FALSE,TRUE)</f>
        <v>0</v>
      </c>
      <c r="AA96" s="3" t="b">
        <v>0</v>
      </c>
      <c r="BU96" s="87"/>
      <c r="BV96" s="44"/>
      <c r="BW96" s="44"/>
      <c r="BX96" s="44"/>
      <c r="BY96" s="44"/>
      <c r="BZ96" s="44"/>
      <c r="CA96" s="44"/>
      <c r="CB96" s="44"/>
      <c r="CC96" s="44"/>
      <c r="CD96" s="44"/>
      <c r="CE96" s="44"/>
      <c r="CF96" s="44"/>
      <c r="CG96" s="44"/>
      <c r="CH96" s="44"/>
      <c r="CI96" s="44"/>
      <c r="CJ96" s="44"/>
      <c r="CK96" s="44"/>
      <c r="CL96" s="44"/>
      <c r="CM96" s="44"/>
      <c r="CN96" s="44"/>
      <c r="CO96" s="44"/>
      <c r="CP96" s="44"/>
      <c r="CQ96" s="44"/>
      <c r="CR96" s="44"/>
      <c r="CS96" s="44"/>
      <c r="CT96" s="44"/>
      <c r="CU96" s="44"/>
      <c r="CV96" s="44"/>
      <c r="CW96" s="44"/>
      <c r="CX96" s="44"/>
      <c r="CY96" s="44"/>
      <c r="CZ96" s="44"/>
      <c r="DA96" s="44"/>
      <c r="DB96" s="44"/>
      <c r="DC96" s="44"/>
      <c r="DD96" s="44"/>
      <c r="DE96" s="44"/>
      <c r="DF96" s="44"/>
      <c r="DG96" s="44"/>
      <c r="DH96" s="44"/>
      <c r="DI96" s="44"/>
      <c r="DJ96" s="44"/>
      <c r="DK96" s="44"/>
      <c r="DL96" s="44"/>
      <c r="DM96" s="44"/>
      <c r="DN96" s="44"/>
      <c r="DO96" s="44"/>
      <c r="DP96" s="44"/>
      <c r="DQ96" s="44"/>
      <c r="DR96" s="44"/>
      <c r="DS96" s="44"/>
      <c r="DT96" s="44"/>
      <c r="DU96" s="44"/>
      <c r="DV96" s="44"/>
      <c r="DW96" s="44"/>
      <c r="DX96" s="44"/>
      <c r="DY96" s="44"/>
      <c r="DZ96" s="44"/>
      <c r="EA96" s="44"/>
      <c r="EB96" s="44"/>
      <c r="EC96" s="44"/>
      <c r="ED96" s="44"/>
      <c r="EE96" s="44"/>
      <c r="EF96" s="44"/>
      <c r="EG96" s="44"/>
    </row>
    <row r="97" spans="1:137" ht="15" customHeight="1" thickBot="1">
      <c r="A97" s="14"/>
      <c r="B97" s="57"/>
      <c r="C97" s="167" t="str">
        <f>IF($R$60=1,"",$AF$73)</f>
        <v/>
      </c>
      <c r="D97" s="161" t="str">
        <f>IF($R$60=1,"",$AG$73)</f>
        <v/>
      </c>
      <c r="E97" s="161"/>
      <c r="F97" s="161"/>
      <c r="G97" s="162"/>
      <c r="H97" s="57"/>
      <c r="I97" s="182" t="str">
        <f>IF($R$60=1,"",$AH$73)</f>
        <v/>
      </c>
      <c r="J97" s="161"/>
      <c r="K97" s="161" t="str">
        <f>IF($R$60=1,"",$AI$73)</f>
        <v/>
      </c>
      <c r="L97" s="162"/>
      <c r="M97" s="57"/>
      <c r="N97" s="57"/>
      <c r="O97" s="173"/>
      <c r="P97" s="174"/>
      <c r="Q97" s="174"/>
      <c r="R97" s="175"/>
      <c r="S97" s="138" t="str">
        <f>IF(O97="","",LEN(O97)&amp;" tegn")</f>
        <v/>
      </c>
      <c r="W97" s="67" t="b">
        <f>AND(W95,W96)</f>
        <v>0</v>
      </c>
      <c r="X97" s="42" t="b">
        <f>IF(D139="",FALSE,TRUE)</f>
        <v>0</v>
      </c>
      <c r="Y97" s="42" t="b">
        <f>IF(I139="",FALSE,TRUE)</f>
        <v>0</v>
      </c>
      <c r="Z97" s="42" t="b">
        <f>IF(K139="",FALSE,TRUE)</f>
        <v>0</v>
      </c>
      <c r="AA97" s="3" t="b">
        <v>0</v>
      </c>
      <c r="BU97" s="44"/>
      <c r="BV97" s="44"/>
      <c r="BW97" s="44"/>
      <c r="BX97" s="44"/>
      <c r="BY97" s="44"/>
      <c r="BZ97" s="44"/>
      <c r="CA97" s="44"/>
      <c r="CB97" s="44"/>
      <c r="CC97" s="44"/>
      <c r="CD97" s="44"/>
      <c r="CE97" s="44"/>
      <c r="CF97" s="44"/>
      <c r="CG97" s="44"/>
      <c r="CH97" s="44"/>
      <c r="CI97" s="44"/>
      <c r="CJ97" s="44"/>
      <c r="CK97" s="44"/>
      <c r="CL97" s="44"/>
      <c r="CM97" s="44"/>
      <c r="CN97" s="44"/>
      <c r="CO97" s="44"/>
      <c r="CP97" s="44"/>
      <c r="CQ97" s="44"/>
      <c r="CR97" s="44"/>
      <c r="CS97" s="44"/>
      <c r="CT97" s="44"/>
      <c r="CU97" s="44"/>
      <c r="CV97" s="44"/>
      <c r="CW97" s="44"/>
      <c r="CX97" s="44"/>
      <c r="CY97" s="44"/>
      <c r="CZ97" s="44"/>
      <c r="DA97" s="44"/>
      <c r="DB97" s="44"/>
      <c r="DC97" s="44"/>
      <c r="DD97" s="44"/>
      <c r="DE97" s="44"/>
      <c r="DF97" s="44"/>
      <c r="DG97" s="44"/>
      <c r="DH97" s="44"/>
      <c r="DI97" s="44"/>
      <c r="DJ97" s="44"/>
      <c r="DK97" s="44"/>
      <c r="DL97" s="44"/>
      <c r="DM97" s="44"/>
      <c r="DN97" s="44"/>
      <c r="DO97" s="44"/>
      <c r="DP97" s="44"/>
      <c r="DQ97" s="44"/>
      <c r="DR97" s="44"/>
      <c r="DS97" s="44"/>
      <c r="DT97" s="44"/>
      <c r="DU97" s="44"/>
      <c r="DV97" s="44"/>
      <c r="DW97" s="44"/>
      <c r="DX97" s="44"/>
      <c r="DY97" s="44"/>
      <c r="DZ97" s="44"/>
      <c r="EA97" s="44"/>
      <c r="EB97" s="44"/>
      <c r="EC97" s="44"/>
      <c r="ED97" s="44"/>
      <c r="EE97" s="44"/>
      <c r="EF97" s="44"/>
      <c r="EG97" s="44"/>
    </row>
    <row r="98" spans="1:137" ht="15.75">
      <c r="A98" s="14"/>
      <c r="B98" s="57"/>
      <c r="C98" s="168"/>
      <c r="D98" s="163"/>
      <c r="E98" s="163"/>
      <c r="F98" s="163"/>
      <c r="G98" s="164"/>
      <c r="H98" s="57"/>
      <c r="I98" s="183"/>
      <c r="J98" s="163"/>
      <c r="K98" s="163"/>
      <c r="L98" s="164"/>
      <c r="M98" s="57"/>
      <c r="N98" s="57"/>
      <c r="O98" s="176"/>
      <c r="P98" s="177"/>
      <c r="Q98" s="177"/>
      <c r="R98" s="178"/>
      <c r="S98" s="133"/>
      <c r="X98" s="42" t="b">
        <f>IF(D146="",FALSE,TRUE)</f>
        <v>0</v>
      </c>
      <c r="Y98" s="42" t="b">
        <f>IF(I146="",FALSE,TRUE)</f>
        <v>0</v>
      </c>
      <c r="Z98" s="42" t="b">
        <f>IF(K146="",FALSE,TRUE)</f>
        <v>0</v>
      </c>
      <c r="AA98" s="3" t="b">
        <v>0</v>
      </c>
      <c r="BU98" s="44"/>
      <c r="BV98" s="44"/>
      <c r="BW98" s="44"/>
      <c r="BX98" s="44"/>
      <c r="BY98" s="44"/>
      <c r="BZ98" s="44"/>
      <c r="CA98" s="44"/>
      <c r="CB98" s="44"/>
      <c r="CC98" s="44"/>
      <c r="CD98" s="44"/>
      <c r="CE98" s="44"/>
      <c r="CF98" s="44"/>
      <c r="CG98" s="44"/>
      <c r="CH98" s="44"/>
      <c r="CI98" s="44"/>
      <c r="CJ98" s="44"/>
      <c r="CK98" s="44"/>
      <c r="CL98" s="44"/>
      <c r="CM98" s="44"/>
      <c r="CN98" s="44"/>
      <c r="CO98" s="44"/>
      <c r="CP98" s="44"/>
      <c r="CQ98" s="44"/>
      <c r="CR98" s="44"/>
      <c r="CS98" s="44"/>
      <c r="CT98" s="44"/>
      <c r="CU98" s="44"/>
      <c r="CV98" s="44"/>
      <c r="CW98" s="44"/>
      <c r="CX98" s="44"/>
      <c r="CY98" s="44"/>
      <c r="CZ98" s="44"/>
      <c r="DA98" s="44"/>
      <c r="DB98" s="44"/>
      <c r="DC98" s="44"/>
      <c r="DD98" s="44"/>
      <c r="DE98" s="44"/>
      <c r="DF98" s="44"/>
      <c r="DG98" s="44"/>
      <c r="DH98" s="44"/>
      <c r="DI98" s="44"/>
      <c r="DJ98" s="44"/>
      <c r="DK98" s="44"/>
      <c r="DL98" s="44"/>
      <c r="DM98" s="44"/>
      <c r="DN98" s="44"/>
      <c r="DO98" s="44"/>
      <c r="DP98" s="44"/>
      <c r="DQ98" s="44"/>
      <c r="DR98" s="44"/>
      <c r="DS98" s="44"/>
      <c r="DT98" s="44"/>
      <c r="DU98" s="44"/>
      <c r="DV98" s="44"/>
      <c r="DW98" s="44"/>
      <c r="DX98" s="44"/>
      <c r="DY98" s="44"/>
      <c r="DZ98" s="44"/>
      <c r="EA98" s="44"/>
      <c r="EB98" s="44"/>
      <c r="EC98" s="44"/>
      <c r="ED98" s="44"/>
      <c r="EE98" s="44"/>
      <c r="EF98" s="44"/>
      <c r="EG98" s="44"/>
    </row>
    <row r="99" spans="1:137" ht="15.75">
      <c r="A99" s="14"/>
      <c r="B99" s="57"/>
      <c r="C99" s="168"/>
      <c r="D99" s="163"/>
      <c r="E99" s="163"/>
      <c r="F99" s="163"/>
      <c r="G99" s="164"/>
      <c r="H99" s="57"/>
      <c r="I99" s="183"/>
      <c r="J99" s="163"/>
      <c r="K99" s="163"/>
      <c r="L99" s="164"/>
      <c r="M99" s="241" t="str">
        <f>IF(D97="","","JA")</f>
        <v/>
      </c>
      <c r="N99" s="221" t="str">
        <f>IF(D97="","","NEI")</f>
        <v/>
      </c>
      <c r="O99" s="176"/>
      <c r="P99" s="177"/>
      <c r="Q99" s="177"/>
      <c r="R99" s="178"/>
      <c r="S99" s="133"/>
      <c r="BU99" s="44"/>
      <c r="BV99" s="44"/>
      <c r="BW99" s="44"/>
      <c r="BX99" s="44"/>
      <c r="BY99" s="44"/>
      <c r="BZ99" s="44"/>
      <c r="CA99" s="44"/>
      <c r="CB99" s="44"/>
      <c r="CC99" s="44"/>
      <c r="CD99" s="44"/>
      <c r="CE99" s="44"/>
      <c r="CF99" s="44"/>
      <c r="CG99" s="44"/>
      <c r="CH99" s="44"/>
      <c r="CI99" s="44"/>
      <c r="CJ99" s="44"/>
      <c r="CK99" s="44"/>
      <c r="CL99" s="44"/>
      <c r="CM99" s="44"/>
      <c r="CN99" s="44"/>
      <c r="CO99" s="44"/>
      <c r="CP99" s="44"/>
      <c r="CQ99" s="44"/>
      <c r="CR99" s="44"/>
      <c r="CS99" s="44"/>
      <c r="CT99" s="44"/>
      <c r="CU99" s="44"/>
      <c r="CV99" s="44"/>
      <c r="CW99" s="44"/>
      <c r="CX99" s="44"/>
      <c r="CY99" s="44"/>
      <c r="CZ99" s="44"/>
      <c r="DA99" s="44"/>
      <c r="DB99" s="44"/>
      <c r="DC99" s="44"/>
      <c r="DD99" s="44"/>
      <c r="DE99" s="44"/>
      <c r="DF99" s="44"/>
      <c r="DG99" s="44"/>
      <c r="DH99" s="44"/>
      <c r="DI99" s="44"/>
      <c r="DJ99" s="44"/>
      <c r="DK99" s="44"/>
      <c r="DL99" s="44"/>
      <c r="DM99" s="44"/>
      <c r="DN99" s="44"/>
      <c r="DO99" s="44"/>
      <c r="DP99" s="44"/>
      <c r="DQ99" s="44"/>
      <c r="DR99" s="44"/>
      <c r="DS99" s="44"/>
      <c r="DT99" s="44"/>
      <c r="DU99" s="44"/>
      <c r="DV99" s="44"/>
      <c r="DW99" s="44"/>
      <c r="DX99" s="44"/>
      <c r="DY99" s="44"/>
      <c r="DZ99" s="44"/>
      <c r="EA99" s="44"/>
      <c r="EB99" s="44"/>
      <c r="EC99" s="44"/>
      <c r="ED99" s="44"/>
      <c r="EE99" s="44"/>
      <c r="EF99" s="44"/>
      <c r="EG99" s="44"/>
    </row>
    <row r="100" spans="1:137" ht="15.75">
      <c r="A100" s="14"/>
      <c r="B100" s="57"/>
      <c r="C100" s="168"/>
      <c r="D100" s="163"/>
      <c r="E100" s="163"/>
      <c r="F100" s="163"/>
      <c r="G100" s="164"/>
      <c r="H100" s="57"/>
      <c r="I100" s="183"/>
      <c r="J100" s="163"/>
      <c r="K100" s="163"/>
      <c r="L100" s="164"/>
      <c r="M100" s="241"/>
      <c r="N100" s="221"/>
      <c r="O100" s="176"/>
      <c r="P100" s="177"/>
      <c r="Q100" s="177"/>
      <c r="R100" s="178"/>
      <c r="S100" s="133"/>
      <c r="BU100" s="44"/>
      <c r="BV100" s="44"/>
      <c r="BW100" s="44"/>
      <c r="BX100" s="44"/>
      <c r="BY100" s="44"/>
      <c r="BZ100" s="44"/>
      <c r="CA100" s="44"/>
      <c r="CB100" s="44"/>
      <c r="CC100" s="44"/>
      <c r="CD100" s="44"/>
      <c r="CE100" s="44"/>
      <c r="CF100" s="44"/>
      <c r="CG100" s="44"/>
      <c r="CH100" s="44"/>
      <c r="CI100" s="44"/>
      <c r="CJ100" s="44"/>
      <c r="CK100" s="44"/>
      <c r="CL100" s="44"/>
      <c r="CM100" s="44"/>
      <c r="CN100" s="44"/>
      <c r="CO100" s="44"/>
      <c r="CP100" s="44"/>
      <c r="CQ100" s="44"/>
      <c r="CR100" s="44"/>
      <c r="CS100" s="44"/>
      <c r="CT100" s="44"/>
      <c r="CU100" s="44"/>
      <c r="CV100" s="44"/>
      <c r="CW100" s="44"/>
      <c r="CX100" s="44"/>
      <c r="CY100" s="44"/>
      <c r="CZ100" s="44"/>
      <c r="DA100" s="44"/>
      <c r="DB100" s="44"/>
      <c r="DC100" s="44"/>
      <c r="DD100" s="44"/>
      <c r="DE100" s="44"/>
      <c r="DF100" s="44"/>
      <c r="DG100" s="44"/>
      <c r="DH100" s="44"/>
      <c r="DI100" s="44"/>
      <c r="DJ100" s="44"/>
      <c r="DK100" s="44"/>
      <c r="DL100" s="44"/>
      <c r="DM100" s="44"/>
      <c r="DN100" s="44"/>
      <c r="DO100" s="44"/>
      <c r="DP100" s="44"/>
      <c r="DQ100" s="44"/>
      <c r="DR100" s="44"/>
      <c r="DS100" s="44"/>
      <c r="DT100" s="44"/>
      <c r="DU100" s="44"/>
      <c r="DV100" s="44"/>
      <c r="DW100" s="44"/>
      <c r="DX100" s="44"/>
      <c r="DY100" s="44"/>
      <c r="DZ100" s="44"/>
      <c r="EA100" s="44"/>
      <c r="EB100" s="44"/>
      <c r="EC100" s="44"/>
      <c r="ED100" s="44"/>
      <c r="EE100" s="44"/>
      <c r="EF100" s="44"/>
      <c r="EG100" s="44"/>
    </row>
    <row r="101" spans="1:137" ht="15.75">
      <c r="A101" s="14"/>
      <c r="B101" s="57"/>
      <c r="C101" s="168"/>
      <c r="D101" s="163"/>
      <c r="E101" s="163"/>
      <c r="F101" s="163"/>
      <c r="G101" s="164"/>
      <c r="H101" s="57"/>
      <c r="I101" s="183"/>
      <c r="J101" s="163"/>
      <c r="K101" s="163"/>
      <c r="L101" s="164"/>
      <c r="M101" s="57"/>
      <c r="N101" s="57"/>
      <c r="O101" s="176"/>
      <c r="P101" s="177"/>
      <c r="Q101" s="177"/>
      <c r="R101" s="178"/>
      <c r="S101" s="133"/>
      <c r="BU101" s="44"/>
      <c r="BV101" s="44"/>
      <c r="BW101" s="44"/>
      <c r="BX101" s="44"/>
      <c r="BY101" s="44"/>
      <c r="BZ101" s="44"/>
      <c r="CA101" s="44"/>
      <c r="CB101" s="44"/>
      <c r="CC101" s="44"/>
      <c r="CD101" s="44"/>
      <c r="CE101" s="44"/>
      <c r="CF101" s="44"/>
      <c r="CG101" s="44"/>
      <c r="CH101" s="44"/>
      <c r="CI101" s="44"/>
      <c r="CJ101" s="44"/>
      <c r="CK101" s="44"/>
      <c r="CL101" s="44"/>
      <c r="CM101" s="44"/>
      <c r="CN101" s="44"/>
      <c r="CO101" s="44"/>
      <c r="CP101" s="44"/>
      <c r="CQ101" s="44"/>
      <c r="CR101" s="44"/>
      <c r="CS101" s="44"/>
      <c r="CT101" s="44"/>
      <c r="CU101" s="44"/>
      <c r="CV101" s="44"/>
      <c r="CW101" s="44"/>
      <c r="CX101" s="44"/>
      <c r="CY101" s="44"/>
      <c r="CZ101" s="44"/>
      <c r="DA101" s="44"/>
      <c r="DB101" s="44"/>
      <c r="DC101" s="44"/>
      <c r="DD101" s="44"/>
      <c r="DE101" s="44"/>
      <c r="DF101" s="44"/>
      <c r="DG101" s="44"/>
      <c r="DH101" s="44"/>
      <c r="DI101" s="44"/>
      <c r="DJ101" s="44"/>
      <c r="DK101" s="44"/>
      <c r="DL101" s="44"/>
      <c r="DM101" s="44"/>
      <c r="DN101" s="44"/>
      <c r="DO101" s="44"/>
      <c r="DP101" s="44"/>
      <c r="DQ101" s="44"/>
      <c r="DR101" s="44"/>
      <c r="DS101" s="44"/>
      <c r="DT101" s="44"/>
      <c r="DU101" s="44"/>
      <c r="DV101" s="44"/>
      <c r="DW101" s="44"/>
      <c r="DX101" s="44"/>
      <c r="DY101" s="44"/>
      <c r="DZ101" s="44"/>
      <c r="EA101" s="44"/>
      <c r="EB101" s="44"/>
      <c r="EC101" s="44"/>
      <c r="ED101" s="44"/>
      <c r="EE101" s="44"/>
      <c r="EF101" s="44"/>
      <c r="EG101" s="44"/>
    </row>
    <row r="102" spans="1:137" ht="15.75">
      <c r="A102" s="14"/>
      <c r="B102" s="57"/>
      <c r="C102" s="169"/>
      <c r="D102" s="165"/>
      <c r="E102" s="165"/>
      <c r="F102" s="165"/>
      <c r="G102" s="166"/>
      <c r="H102" s="57"/>
      <c r="I102" s="184"/>
      <c r="J102" s="165"/>
      <c r="K102" s="165"/>
      <c r="L102" s="166"/>
      <c r="M102" s="57"/>
      <c r="N102" s="57"/>
      <c r="O102" s="179"/>
      <c r="P102" s="180"/>
      <c r="Q102" s="180"/>
      <c r="R102" s="181"/>
      <c r="S102" s="133"/>
      <c r="T102" s="3">
        <v>2</v>
      </c>
      <c r="U102" s="60" t="str">
        <f>IF(D97="","",IF(T102=1,TRUE,IF(T102=2,FALSE,"IR")))</f>
        <v/>
      </c>
      <c r="V102" s="3">
        <f>IF(U102=TRUE,1,IF(U102=FALSE,1,0))</f>
        <v>0</v>
      </c>
      <c r="W102" s="3" t="str">
        <f>IF(U102="","",IF(U102=TRUE,"Ja",IF(U102=FALSE,"Nei","Ikke relevant")))</f>
        <v/>
      </c>
      <c r="BU102" s="44"/>
      <c r="BV102" s="44"/>
      <c r="BW102" s="44"/>
      <c r="BX102" s="44"/>
      <c r="BY102" s="44"/>
      <c r="BZ102" s="44"/>
      <c r="CA102" s="44"/>
      <c r="CB102" s="44"/>
      <c r="CC102" s="44"/>
      <c r="CD102" s="44"/>
      <c r="CE102" s="44"/>
      <c r="CF102" s="44"/>
      <c r="CG102" s="44"/>
      <c r="CH102" s="44"/>
      <c r="CI102" s="44"/>
      <c r="CJ102" s="44"/>
      <c r="CK102" s="44"/>
      <c r="CL102" s="44"/>
      <c r="CM102" s="44"/>
      <c r="CN102" s="44"/>
      <c r="CO102" s="44"/>
      <c r="CP102" s="44"/>
      <c r="CQ102" s="44"/>
      <c r="CR102" s="44"/>
      <c r="CS102" s="44"/>
      <c r="CT102" s="44"/>
      <c r="CU102" s="44"/>
      <c r="CV102" s="44"/>
      <c r="CW102" s="44"/>
      <c r="CX102" s="44"/>
      <c r="CY102" s="44"/>
      <c r="CZ102" s="44"/>
      <c r="DA102" s="44"/>
      <c r="DB102" s="44"/>
      <c r="DC102" s="44"/>
      <c r="DD102" s="44"/>
      <c r="DE102" s="44"/>
      <c r="DF102" s="44"/>
      <c r="DG102" s="44"/>
      <c r="DH102" s="44"/>
      <c r="DI102" s="44"/>
      <c r="DJ102" s="44"/>
      <c r="DK102" s="44"/>
      <c r="DL102" s="44"/>
      <c r="DM102" s="44"/>
      <c r="DN102" s="44"/>
      <c r="DO102" s="44"/>
      <c r="DP102" s="44"/>
      <c r="DQ102" s="44"/>
      <c r="DR102" s="44"/>
      <c r="DS102" s="44"/>
      <c r="DT102" s="44"/>
      <c r="DU102" s="44"/>
      <c r="DV102" s="44"/>
      <c r="DW102" s="44"/>
      <c r="DX102" s="44"/>
      <c r="DY102" s="44"/>
      <c r="DZ102" s="44"/>
      <c r="EA102" s="44"/>
      <c r="EB102" s="44"/>
      <c r="EC102" s="44"/>
      <c r="ED102" s="44"/>
      <c r="EE102" s="44"/>
      <c r="EF102" s="44"/>
      <c r="EG102" s="44"/>
    </row>
    <row r="103" spans="1:137" ht="15.75">
      <c r="A103" s="14"/>
      <c r="B103" s="57"/>
      <c r="C103" s="57"/>
      <c r="D103" s="57"/>
      <c r="E103" s="57"/>
      <c r="F103" s="57"/>
      <c r="G103" s="57"/>
      <c r="H103" s="57"/>
      <c r="I103" s="57"/>
      <c r="J103" s="57"/>
      <c r="K103" s="57"/>
      <c r="L103" s="57"/>
      <c r="M103" s="57"/>
      <c r="N103" s="57"/>
      <c r="O103" s="57"/>
      <c r="P103" s="57"/>
      <c r="Q103" s="57"/>
      <c r="R103" s="57"/>
      <c r="S103" s="132" t="str">
        <f>IF(V67=TRUE,"Til utskrift","")</f>
        <v/>
      </c>
      <c r="BU103" s="87"/>
      <c r="BV103" s="44"/>
      <c r="BW103" s="44"/>
      <c r="BX103" s="44"/>
      <c r="BY103" s="44"/>
      <c r="BZ103" s="44"/>
      <c r="CA103" s="44"/>
      <c r="CB103" s="44"/>
      <c r="CC103" s="44"/>
      <c r="CD103" s="44"/>
      <c r="CE103" s="44"/>
      <c r="CF103" s="44"/>
      <c r="CG103" s="44"/>
      <c r="CH103" s="44"/>
      <c r="CI103" s="44"/>
      <c r="CJ103" s="44"/>
      <c r="CK103" s="44"/>
      <c r="CL103" s="44"/>
      <c r="CM103" s="44"/>
      <c r="CN103" s="44"/>
      <c r="CO103" s="44"/>
      <c r="CP103" s="44"/>
      <c r="CQ103" s="44"/>
      <c r="CR103" s="44"/>
      <c r="CS103" s="44"/>
      <c r="CT103" s="44"/>
      <c r="CU103" s="44"/>
      <c r="CV103" s="44"/>
      <c r="CW103" s="44"/>
      <c r="CX103" s="44"/>
      <c r="CY103" s="44"/>
      <c r="CZ103" s="44"/>
      <c r="DA103" s="44"/>
      <c r="DB103" s="44"/>
      <c r="DC103" s="44"/>
      <c r="DD103" s="44"/>
      <c r="DE103" s="44"/>
      <c r="DF103" s="44"/>
      <c r="DG103" s="44"/>
      <c r="DH103" s="44"/>
      <c r="DI103" s="44"/>
      <c r="DJ103" s="44"/>
      <c r="DK103" s="44"/>
      <c r="DL103" s="44"/>
      <c r="DM103" s="44"/>
      <c r="DN103" s="44"/>
      <c r="DO103" s="44"/>
      <c r="DP103" s="44"/>
      <c r="DQ103" s="44"/>
      <c r="DR103" s="44"/>
      <c r="DS103" s="44"/>
      <c r="DT103" s="44"/>
      <c r="DU103" s="44"/>
      <c r="DV103" s="44"/>
      <c r="DW103" s="44"/>
      <c r="DX103" s="44"/>
      <c r="DY103" s="44"/>
      <c r="DZ103" s="44"/>
      <c r="EA103" s="44"/>
      <c r="EB103" s="44"/>
      <c r="EC103" s="44"/>
      <c r="ED103" s="44"/>
      <c r="EE103" s="44"/>
      <c r="EF103" s="44"/>
      <c r="EG103" s="44"/>
    </row>
    <row r="104" spans="1:137" ht="15" customHeight="1">
      <c r="A104" s="14"/>
      <c r="B104" s="57"/>
      <c r="C104" s="167" t="str">
        <f>IF($R$60=1,"",$AK$73)</f>
        <v/>
      </c>
      <c r="D104" s="161" t="str">
        <f>IF($R$60=1,"",$AL$73)</f>
        <v/>
      </c>
      <c r="E104" s="161"/>
      <c r="F104" s="161"/>
      <c r="G104" s="162"/>
      <c r="H104" s="57"/>
      <c r="I104" s="182" t="str">
        <f>IF($R$60=1,"",$AM$73)</f>
        <v/>
      </c>
      <c r="J104" s="161"/>
      <c r="K104" s="161" t="str">
        <f>IF($R$60=1,"",$AN$73)</f>
        <v/>
      </c>
      <c r="L104" s="162"/>
      <c r="M104" s="57"/>
      <c r="N104" s="57"/>
      <c r="O104" s="173"/>
      <c r="P104" s="174"/>
      <c r="Q104" s="174"/>
      <c r="R104" s="175"/>
      <c r="S104" s="138" t="str">
        <f>IF(O104="","",LEN(O104)&amp;" tegn")</f>
        <v/>
      </c>
      <c r="X104" s="42" t="b">
        <f>IF($T$67=TRUE,FALSE,IF($T$71=TRUE,FALSE,IF($T$70=TRUE,FALSE,IF($T$69=TRUE,FALSE,IF($C$158="",FALSE,IF($W$59=TRUE,FALSE,TRUE))))))</f>
        <v>0</v>
      </c>
      <c r="Y104" s="42" t="b">
        <f>IF(R48=1,FALSE,IF(I158="",FALSE,IF(W59=FALSE,TRUE,FALSE)))</f>
        <v>0</v>
      </c>
      <c r="Z104" s="42" t="b">
        <f>IF(R48=1,FALSE,IF(I158="",FALSE,IF(W59=FALSE,TRUE,FALSE)))</f>
        <v>0</v>
      </c>
      <c r="BU104" s="44"/>
      <c r="BV104" s="44"/>
      <c r="BW104" s="44"/>
      <c r="BX104" s="44"/>
      <c r="BY104" s="44"/>
      <c r="BZ104" s="44"/>
      <c r="CA104" s="44"/>
      <c r="CB104" s="44"/>
      <c r="CC104" s="44"/>
      <c r="CD104" s="44"/>
      <c r="CE104" s="44"/>
      <c r="CF104" s="44"/>
      <c r="CG104" s="44"/>
      <c r="CH104" s="44"/>
      <c r="CI104" s="44"/>
      <c r="CJ104" s="44"/>
      <c r="CK104" s="44"/>
      <c r="CL104" s="44"/>
      <c r="CM104" s="44"/>
      <c r="CN104" s="44"/>
      <c r="CO104" s="44"/>
      <c r="CP104" s="44"/>
      <c r="CQ104" s="44"/>
      <c r="CR104" s="44"/>
      <c r="CS104" s="44"/>
      <c r="CT104" s="44"/>
      <c r="CU104" s="44"/>
      <c r="CV104" s="44"/>
      <c r="CW104" s="44"/>
      <c r="CX104" s="44"/>
      <c r="CY104" s="44"/>
      <c r="CZ104" s="44"/>
      <c r="DA104" s="44"/>
      <c r="DB104" s="44"/>
      <c r="DC104" s="44"/>
      <c r="DD104" s="44"/>
      <c r="DE104" s="44"/>
      <c r="DF104" s="44"/>
      <c r="DG104" s="44"/>
      <c r="DH104" s="44"/>
      <c r="DI104" s="44"/>
      <c r="DJ104" s="44"/>
      <c r="DK104" s="44"/>
      <c r="DL104" s="44"/>
      <c r="DM104" s="44"/>
      <c r="DN104" s="44"/>
      <c r="DO104" s="44"/>
      <c r="DP104" s="44"/>
      <c r="DQ104" s="44"/>
      <c r="DR104" s="44"/>
      <c r="DS104" s="44"/>
      <c r="DT104" s="44"/>
      <c r="DU104" s="44"/>
      <c r="DV104" s="44"/>
      <c r="DW104" s="44"/>
      <c r="DX104" s="44"/>
      <c r="DY104" s="44"/>
      <c r="DZ104" s="44"/>
      <c r="EA104" s="44"/>
      <c r="EB104" s="44"/>
      <c r="EC104" s="44"/>
      <c r="ED104" s="44"/>
      <c r="EE104" s="44"/>
      <c r="EF104" s="44"/>
      <c r="EG104" s="44"/>
    </row>
    <row r="105" spans="1:137" ht="15.75">
      <c r="A105" s="14"/>
      <c r="B105" s="57"/>
      <c r="C105" s="168"/>
      <c r="D105" s="163"/>
      <c r="E105" s="163"/>
      <c r="F105" s="163"/>
      <c r="G105" s="164"/>
      <c r="H105" s="57"/>
      <c r="I105" s="183"/>
      <c r="J105" s="163"/>
      <c r="K105" s="163"/>
      <c r="L105" s="164"/>
      <c r="M105" s="57"/>
      <c r="N105" s="57"/>
      <c r="O105" s="176"/>
      <c r="P105" s="177"/>
      <c r="Q105" s="177"/>
      <c r="R105" s="178"/>
      <c r="S105" s="133"/>
      <c r="X105" s="42" t="b">
        <f>IF(C161="",FALSE,TRUE)</f>
        <v>0</v>
      </c>
      <c r="Y105" s="42" t="b">
        <f>IF(X105=FALSE,FALSE,TRUE)</f>
        <v>0</v>
      </c>
      <c r="Z105" s="42" t="b">
        <f>IF(Y105=FALSE,FALSE,TRUE)</f>
        <v>0</v>
      </c>
      <c r="AK105" s="23"/>
      <c r="AL105" s="23"/>
      <c r="AM105" s="23"/>
      <c r="AN105" s="23"/>
      <c r="AO105" s="23"/>
      <c r="AP105" s="23"/>
      <c r="AQ105" s="23"/>
      <c r="AR105" s="23"/>
      <c r="BU105" s="44"/>
      <c r="BV105" s="44"/>
      <c r="BW105" s="44"/>
      <c r="BX105" s="44"/>
      <c r="BY105" s="44"/>
      <c r="BZ105" s="44"/>
      <c r="CA105" s="44"/>
      <c r="CB105" s="44"/>
      <c r="CC105" s="44"/>
      <c r="CD105" s="44"/>
      <c r="CE105" s="44"/>
      <c r="CF105" s="44"/>
      <c r="CG105" s="44"/>
      <c r="CH105" s="44"/>
      <c r="CI105" s="44"/>
      <c r="CJ105" s="44"/>
      <c r="CK105" s="44"/>
      <c r="CL105" s="44"/>
      <c r="CM105" s="44"/>
      <c r="CN105" s="44"/>
      <c r="CO105" s="44"/>
      <c r="CP105" s="44"/>
      <c r="CQ105" s="44"/>
      <c r="CR105" s="44"/>
      <c r="CS105" s="44"/>
      <c r="CT105" s="44"/>
      <c r="CU105" s="44"/>
      <c r="CV105" s="44"/>
      <c r="CW105" s="44"/>
      <c r="CX105" s="44"/>
      <c r="CY105" s="44"/>
      <c r="CZ105" s="44"/>
      <c r="DA105" s="44"/>
      <c r="DB105" s="44"/>
      <c r="DC105" s="44"/>
      <c r="DD105" s="44"/>
      <c r="DE105" s="44"/>
      <c r="DF105" s="44"/>
      <c r="DG105" s="44"/>
      <c r="DH105" s="44"/>
      <c r="DI105" s="44"/>
      <c r="DJ105" s="44"/>
      <c r="DK105" s="44"/>
      <c r="DL105" s="44"/>
      <c r="DM105" s="44"/>
      <c r="DN105" s="44"/>
      <c r="DO105" s="44"/>
      <c r="DP105" s="44"/>
      <c r="DQ105" s="44"/>
      <c r="DR105" s="44"/>
      <c r="DS105" s="44"/>
      <c r="DT105" s="44"/>
      <c r="DU105" s="44"/>
      <c r="DV105" s="44"/>
      <c r="DW105" s="44"/>
      <c r="DX105" s="44"/>
      <c r="DY105" s="44"/>
      <c r="DZ105" s="44"/>
      <c r="EA105" s="44"/>
      <c r="EB105" s="44"/>
      <c r="EC105" s="44"/>
      <c r="ED105" s="44"/>
      <c r="EE105" s="44"/>
      <c r="EF105" s="44"/>
      <c r="EG105" s="44"/>
    </row>
    <row r="106" spans="1:137" ht="15.75">
      <c r="A106" s="14"/>
      <c r="B106" s="57"/>
      <c r="C106" s="168"/>
      <c r="D106" s="163"/>
      <c r="E106" s="163"/>
      <c r="F106" s="163"/>
      <c r="G106" s="164"/>
      <c r="H106" s="57"/>
      <c r="I106" s="183"/>
      <c r="J106" s="163"/>
      <c r="K106" s="163"/>
      <c r="L106" s="164"/>
      <c r="M106" s="241" t="str">
        <f>IF(D104="","","JA")</f>
        <v/>
      </c>
      <c r="N106" s="221" t="str">
        <f>IF(D104="","","NEI")</f>
        <v/>
      </c>
      <c r="O106" s="176"/>
      <c r="P106" s="177"/>
      <c r="Q106" s="177"/>
      <c r="R106" s="178"/>
      <c r="S106" s="133"/>
      <c r="BU106" s="87"/>
      <c r="BV106" s="44"/>
      <c r="BW106" s="44"/>
      <c r="BX106" s="44"/>
      <c r="BY106" s="44"/>
      <c r="BZ106" s="44"/>
      <c r="CA106" s="44"/>
      <c r="CB106" s="44"/>
      <c r="CC106" s="44"/>
      <c r="CD106" s="44"/>
      <c r="CE106" s="44"/>
      <c r="CF106" s="44"/>
      <c r="CG106" s="44"/>
      <c r="CH106" s="44"/>
      <c r="CI106" s="44"/>
      <c r="CJ106" s="44"/>
      <c r="CK106" s="44"/>
      <c r="CL106" s="44"/>
      <c r="CM106" s="44"/>
      <c r="CN106" s="44"/>
      <c r="CO106" s="44"/>
      <c r="CP106" s="44"/>
      <c r="CQ106" s="44"/>
      <c r="CR106" s="44"/>
      <c r="CS106" s="44"/>
      <c r="CT106" s="44"/>
      <c r="CU106" s="44"/>
      <c r="CV106" s="44"/>
      <c r="CW106" s="44"/>
      <c r="CX106" s="44"/>
      <c r="CY106" s="44"/>
      <c r="CZ106" s="44"/>
      <c r="DA106" s="44"/>
      <c r="DB106" s="44"/>
      <c r="DC106" s="44"/>
      <c r="DD106" s="44"/>
      <c r="DE106" s="44"/>
      <c r="DF106" s="44"/>
      <c r="DG106" s="44"/>
      <c r="DH106" s="44"/>
      <c r="DI106" s="44"/>
      <c r="DJ106" s="44"/>
      <c r="DK106" s="44"/>
      <c r="DL106" s="44"/>
      <c r="DM106" s="44"/>
      <c r="DN106" s="44"/>
      <c r="DO106" s="44"/>
      <c r="DP106" s="44"/>
      <c r="DQ106" s="44"/>
      <c r="DR106" s="44"/>
      <c r="DS106" s="44"/>
      <c r="DT106" s="44"/>
      <c r="DU106" s="44"/>
      <c r="DV106" s="44"/>
      <c r="DW106" s="44"/>
      <c r="DX106" s="44"/>
      <c r="DY106" s="44"/>
      <c r="DZ106" s="44"/>
      <c r="EA106" s="44"/>
      <c r="EB106" s="44"/>
      <c r="EC106" s="44"/>
      <c r="ED106" s="44"/>
      <c r="EE106" s="44"/>
      <c r="EF106" s="44"/>
      <c r="EG106" s="44"/>
    </row>
    <row r="107" spans="1:137" ht="15.75">
      <c r="A107" s="14"/>
      <c r="B107" s="57"/>
      <c r="C107" s="168"/>
      <c r="D107" s="163"/>
      <c r="E107" s="163"/>
      <c r="F107" s="163"/>
      <c r="G107" s="164"/>
      <c r="H107" s="57"/>
      <c r="I107" s="183"/>
      <c r="J107" s="163"/>
      <c r="K107" s="163"/>
      <c r="L107" s="164"/>
      <c r="M107" s="241"/>
      <c r="N107" s="221"/>
      <c r="O107" s="176"/>
      <c r="P107" s="177"/>
      <c r="Q107" s="177"/>
      <c r="R107" s="178"/>
      <c r="S107" s="133"/>
      <c r="BU107" s="44"/>
      <c r="BV107" s="44"/>
      <c r="BW107" s="44"/>
      <c r="BX107" s="44"/>
      <c r="BY107" s="44"/>
      <c r="BZ107" s="44"/>
      <c r="CA107" s="44"/>
      <c r="CB107" s="44"/>
      <c r="CC107" s="44"/>
      <c r="CD107" s="44"/>
      <c r="CE107" s="44"/>
      <c r="CF107" s="44"/>
      <c r="CG107" s="44"/>
      <c r="CH107" s="44"/>
      <c r="CI107" s="44"/>
      <c r="CJ107" s="44"/>
      <c r="CK107" s="44"/>
      <c r="CL107" s="44"/>
      <c r="CM107" s="44"/>
      <c r="CN107" s="44"/>
      <c r="CO107" s="44"/>
      <c r="CP107" s="44"/>
      <c r="CQ107" s="44"/>
      <c r="CR107" s="44"/>
      <c r="CS107" s="44"/>
      <c r="CT107" s="44"/>
      <c r="CU107" s="44"/>
      <c r="CV107" s="44"/>
      <c r="CW107" s="44"/>
      <c r="CX107" s="44"/>
      <c r="CY107" s="44"/>
      <c r="CZ107" s="44"/>
      <c r="DA107" s="44"/>
      <c r="DB107" s="44"/>
      <c r="DC107" s="44"/>
      <c r="DD107" s="44"/>
      <c r="DE107" s="44"/>
      <c r="DF107" s="44"/>
      <c r="DG107" s="44"/>
      <c r="DH107" s="44"/>
      <c r="DI107" s="44"/>
      <c r="DJ107" s="44"/>
      <c r="DK107" s="44"/>
      <c r="DL107" s="44"/>
      <c r="DM107" s="44"/>
      <c r="DN107" s="44"/>
      <c r="DO107" s="44"/>
      <c r="DP107" s="44"/>
      <c r="DQ107" s="44"/>
      <c r="DR107" s="44"/>
      <c r="DS107" s="44"/>
      <c r="DT107" s="44"/>
      <c r="DU107" s="44"/>
      <c r="DV107" s="44"/>
      <c r="DW107" s="44"/>
      <c r="DX107" s="44"/>
      <c r="DY107" s="44"/>
      <c r="DZ107" s="44"/>
      <c r="EA107" s="44"/>
      <c r="EB107" s="44"/>
      <c r="EC107" s="44"/>
      <c r="ED107" s="44"/>
      <c r="EE107" s="44"/>
      <c r="EF107" s="44"/>
      <c r="EG107" s="44"/>
    </row>
    <row r="108" spans="1:137" ht="15.75">
      <c r="A108" s="14"/>
      <c r="B108" s="57"/>
      <c r="C108" s="168"/>
      <c r="D108" s="163"/>
      <c r="E108" s="163"/>
      <c r="F108" s="163"/>
      <c r="G108" s="164"/>
      <c r="H108" s="57"/>
      <c r="I108" s="183"/>
      <c r="J108" s="163"/>
      <c r="K108" s="163"/>
      <c r="L108" s="164"/>
      <c r="M108" s="57"/>
      <c r="N108" s="57"/>
      <c r="O108" s="176"/>
      <c r="P108" s="177"/>
      <c r="Q108" s="177"/>
      <c r="R108" s="178"/>
      <c r="S108" s="133"/>
      <c r="T108" s="3">
        <v>2</v>
      </c>
      <c r="U108" s="3" t="str">
        <f>IF(D104="","",IF(T108=1,TRUE,IF(T108=2,FALSE,"IR")))</f>
        <v/>
      </c>
      <c r="V108" s="3">
        <f>IF(U108=TRUE,1,IF(U108=FALSE,1,0))</f>
        <v>0</v>
      </c>
      <c r="W108" s="3" t="str">
        <f>IF(U108="","",IF(U108=TRUE,"Ja",IF(U108=FALSE,"Nei","Ikke relevant")))</f>
        <v/>
      </c>
      <c r="BU108" s="44"/>
      <c r="BV108" s="44"/>
      <c r="BW108" s="44"/>
      <c r="BX108" s="44"/>
      <c r="BY108" s="44"/>
      <c r="BZ108" s="44"/>
      <c r="CA108" s="44"/>
      <c r="CB108" s="44"/>
      <c r="CC108" s="44"/>
      <c r="CD108" s="44"/>
      <c r="CE108" s="44"/>
      <c r="CF108" s="44"/>
      <c r="CG108" s="44"/>
      <c r="CH108" s="44"/>
      <c r="CI108" s="44"/>
      <c r="CJ108" s="44"/>
      <c r="CK108" s="44"/>
      <c r="CL108" s="44"/>
      <c r="CM108" s="44"/>
      <c r="CN108" s="44"/>
      <c r="CO108" s="44"/>
      <c r="CP108" s="44"/>
      <c r="CQ108" s="44"/>
      <c r="CR108" s="44"/>
      <c r="CS108" s="44"/>
      <c r="CT108" s="44"/>
      <c r="CU108" s="44"/>
      <c r="CV108" s="44"/>
      <c r="CW108" s="44"/>
      <c r="CX108" s="44"/>
      <c r="CY108" s="44"/>
      <c r="CZ108" s="44"/>
      <c r="DA108" s="44"/>
      <c r="DB108" s="44"/>
      <c r="DC108" s="44"/>
      <c r="DD108" s="44"/>
      <c r="DE108" s="44"/>
      <c r="DF108" s="44"/>
      <c r="DG108" s="44"/>
      <c r="DH108" s="44"/>
      <c r="DI108" s="44"/>
      <c r="DJ108" s="44"/>
      <c r="DK108" s="44"/>
      <c r="DL108" s="44"/>
      <c r="DM108" s="44"/>
      <c r="DN108" s="44"/>
      <c r="DO108" s="44"/>
      <c r="DP108" s="44"/>
      <c r="DQ108" s="44"/>
      <c r="DR108" s="44"/>
      <c r="DS108" s="44"/>
      <c r="DT108" s="44"/>
      <c r="DU108" s="44"/>
      <c r="DV108" s="44"/>
      <c r="DW108" s="44"/>
      <c r="DX108" s="44"/>
      <c r="DY108" s="44"/>
      <c r="DZ108" s="44"/>
      <c r="EA108" s="44"/>
      <c r="EB108" s="44"/>
      <c r="EC108" s="44"/>
      <c r="ED108" s="44"/>
      <c r="EE108" s="44"/>
      <c r="EF108" s="44"/>
      <c r="EG108" s="44"/>
    </row>
    <row r="109" spans="1:137" ht="15.75">
      <c r="A109" s="14"/>
      <c r="B109" s="57"/>
      <c r="C109" s="169"/>
      <c r="D109" s="165"/>
      <c r="E109" s="165"/>
      <c r="F109" s="165"/>
      <c r="G109" s="166"/>
      <c r="H109" s="57"/>
      <c r="I109" s="184"/>
      <c r="J109" s="165"/>
      <c r="K109" s="165"/>
      <c r="L109" s="166"/>
      <c r="M109" s="57"/>
      <c r="N109" s="57"/>
      <c r="O109" s="179"/>
      <c r="P109" s="180"/>
      <c r="Q109" s="180"/>
      <c r="R109" s="181"/>
      <c r="S109" s="133"/>
      <c r="BU109" s="44"/>
      <c r="BV109" s="44"/>
      <c r="BW109" s="44"/>
      <c r="BX109" s="44"/>
      <c r="BY109" s="44"/>
      <c r="BZ109" s="44"/>
      <c r="CA109" s="44"/>
      <c r="CB109" s="44"/>
      <c r="CC109" s="44"/>
      <c r="CD109" s="44"/>
      <c r="CE109" s="44"/>
      <c r="CF109" s="44"/>
      <c r="CG109" s="44"/>
      <c r="CH109" s="44"/>
      <c r="CI109" s="44"/>
      <c r="CJ109" s="44"/>
      <c r="CK109" s="44"/>
      <c r="CL109" s="44"/>
      <c r="CM109" s="44"/>
      <c r="CN109" s="44"/>
      <c r="CO109" s="44"/>
      <c r="CP109" s="44"/>
      <c r="CQ109" s="44"/>
      <c r="CR109" s="44"/>
      <c r="CS109" s="44"/>
      <c r="CT109" s="44"/>
      <c r="CU109" s="44"/>
      <c r="CV109" s="44"/>
      <c r="CW109" s="44"/>
      <c r="CX109" s="44"/>
      <c r="CY109" s="44"/>
      <c r="CZ109" s="44"/>
      <c r="DA109" s="44"/>
      <c r="DB109" s="44"/>
      <c r="DC109" s="44"/>
      <c r="DD109" s="44"/>
      <c r="DE109" s="44"/>
      <c r="DF109" s="44"/>
      <c r="DG109" s="44"/>
      <c r="DH109" s="44"/>
      <c r="DI109" s="44"/>
      <c r="DJ109" s="44"/>
      <c r="DK109" s="44"/>
      <c r="DL109" s="44"/>
      <c r="DM109" s="44"/>
      <c r="DN109" s="44"/>
      <c r="DO109" s="44"/>
      <c r="DP109" s="44"/>
      <c r="DQ109" s="44"/>
      <c r="DR109" s="44"/>
      <c r="DS109" s="44"/>
      <c r="DT109" s="44"/>
      <c r="DU109" s="44"/>
      <c r="DV109" s="44"/>
      <c r="DW109" s="44"/>
      <c r="DX109" s="44"/>
      <c r="DY109" s="44"/>
      <c r="DZ109" s="44"/>
      <c r="EA109" s="44"/>
      <c r="EB109" s="44"/>
      <c r="EC109" s="44"/>
      <c r="ED109" s="44"/>
      <c r="EE109" s="44"/>
      <c r="EF109" s="44"/>
      <c r="EG109" s="44"/>
    </row>
    <row r="110" spans="1:137" ht="15.75">
      <c r="A110" s="14"/>
      <c r="B110" s="57"/>
      <c r="C110" s="57"/>
      <c r="D110" s="57"/>
      <c r="E110" s="57"/>
      <c r="F110" s="57"/>
      <c r="G110" s="57"/>
      <c r="H110" s="57"/>
      <c r="I110" s="57"/>
      <c r="J110" s="57"/>
      <c r="K110" s="57"/>
      <c r="L110" s="57"/>
      <c r="M110" s="57"/>
      <c r="N110" s="57"/>
      <c r="O110" s="57"/>
      <c r="P110" s="57"/>
      <c r="Q110" s="57"/>
      <c r="R110" s="57"/>
      <c r="S110" s="132" t="str">
        <f>IF(OR(S67=TRUE,S66=TRUE,S68=TRUE,S70=TRUE,S71=TRUE),"Til utskrift","")</f>
        <v/>
      </c>
      <c r="BU110" s="87"/>
      <c r="BV110" s="44"/>
      <c r="BW110" s="44"/>
      <c r="BX110" s="44"/>
      <c r="BY110" s="44"/>
      <c r="BZ110" s="44"/>
      <c r="CA110" s="44"/>
      <c r="CB110" s="44"/>
      <c r="CC110" s="44"/>
      <c r="CD110" s="44"/>
      <c r="CE110" s="44"/>
      <c r="CF110" s="44"/>
      <c r="CG110" s="44"/>
      <c r="CH110" s="44"/>
      <c r="CI110" s="44"/>
      <c r="CJ110" s="44"/>
      <c r="CK110" s="44"/>
      <c r="CL110" s="44"/>
      <c r="CM110" s="44"/>
      <c r="CN110" s="44"/>
      <c r="CO110" s="44"/>
      <c r="CP110" s="44"/>
      <c r="CQ110" s="44"/>
      <c r="CR110" s="44"/>
      <c r="CS110" s="44"/>
      <c r="CT110" s="44"/>
      <c r="CU110" s="44"/>
      <c r="CV110" s="44"/>
      <c r="CW110" s="44"/>
      <c r="CX110" s="44"/>
      <c r="CY110" s="44"/>
      <c r="CZ110" s="44"/>
      <c r="DA110" s="44"/>
      <c r="DB110" s="44"/>
      <c r="DC110" s="44"/>
      <c r="DD110" s="44"/>
      <c r="DE110" s="44"/>
      <c r="DF110" s="44"/>
      <c r="DG110" s="44"/>
      <c r="DH110" s="44"/>
      <c r="DI110" s="44"/>
      <c r="DJ110" s="44"/>
      <c r="DK110" s="44"/>
      <c r="DL110" s="44"/>
      <c r="DM110" s="44"/>
      <c r="DN110" s="44"/>
      <c r="DO110" s="44"/>
      <c r="DP110" s="44"/>
      <c r="DQ110" s="44"/>
      <c r="DR110" s="44"/>
      <c r="DS110" s="44"/>
      <c r="DT110" s="44"/>
      <c r="DU110" s="44"/>
      <c r="DV110" s="44"/>
      <c r="DW110" s="44"/>
      <c r="DX110" s="44"/>
      <c r="DY110" s="44"/>
      <c r="DZ110" s="44"/>
      <c r="EA110" s="44"/>
      <c r="EB110" s="44"/>
      <c r="EC110" s="44"/>
      <c r="ED110" s="44"/>
      <c r="EE110" s="44"/>
      <c r="EF110" s="44"/>
      <c r="EG110" s="44"/>
    </row>
    <row r="111" spans="1:137" ht="15" customHeight="1">
      <c r="A111" s="14"/>
      <c r="B111" s="57"/>
      <c r="C111" s="167" t="str">
        <f>IF($R$60=1,"",$AO$73)</f>
        <v/>
      </c>
      <c r="D111" s="161" t="str">
        <f>IF($R$60=1,"",$AP$73)</f>
        <v/>
      </c>
      <c r="E111" s="161"/>
      <c r="F111" s="161"/>
      <c r="G111" s="162"/>
      <c r="H111" s="57"/>
      <c r="I111" s="182" t="str">
        <f>IF($R$60=1,"",$AQ$73)</f>
        <v/>
      </c>
      <c r="J111" s="161"/>
      <c r="K111" s="161" t="str">
        <f>IF($R$60=1,"",$AR$73)</f>
        <v/>
      </c>
      <c r="L111" s="162"/>
      <c r="M111" s="57"/>
      <c r="N111" s="57"/>
      <c r="O111" s="173"/>
      <c r="P111" s="174"/>
      <c r="Q111" s="174"/>
      <c r="R111" s="175"/>
      <c r="S111" s="138" t="str">
        <f>IF(O111="","",LEN(O111)&amp;" tegn")</f>
        <v/>
      </c>
      <c r="BU111" s="44"/>
      <c r="BV111" s="44"/>
      <c r="BW111" s="44"/>
      <c r="BX111" s="44"/>
      <c r="BY111" s="44"/>
      <c r="BZ111" s="44"/>
      <c r="CA111" s="44"/>
      <c r="CB111" s="44"/>
      <c r="CC111" s="44"/>
      <c r="CD111" s="44"/>
      <c r="CE111" s="44"/>
      <c r="CF111" s="44"/>
      <c r="CG111" s="44"/>
      <c r="CH111" s="44"/>
      <c r="CI111" s="44"/>
      <c r="CJ111" s="44"/>
      <c r="CK111" s="44"/>
      <c r="CL111" s="44"/>
      <c r="CM111" s="44"/>
      <c r="CN111" s="44"/>
      <c r="CO111" s="44"/>
      <c r="CP111" s="44"/>
      <c r="CQ111" s="44"/>
      <c r="CR111" s="44"/>
      <c r="CS111" s="44"/>
      <c r="CT111" s="44"/>
      <c r="CU111" s="44"/>
      <c r="CV111" s="44"/>
      <c r="CW111" s="44"/>
      <c r="CX111" s="44"/>
      <c r="CY111" s="44"/>
      <c r="CZ111" s="44"/>
      <c r="DA111" s="44"/>
      <c r="DB111" s="44"/>
      <c r="DC111" s="44"/>
      <c r="DD111" s="44"/>
      <c r="DE111" s="44"/>
      <c r="DF111" s="44"/>
      <c r="DG111" s="44"/>
      <c r="DH111" s="44"/>
      <c r="DI111" s="44"/>
      <c r="DJ111" s="44"/>
      <c r="DK111" s="44"/>
      <c r="DL111" s="44"/>
      <c r="DM111" s="44"/>
      <c r="DN111" s="44"/>
      <c r="DO111" s="44"/>
      <c r="DP111" s="44"/>
      <c r="DQ111" s="44"/>
      <c r="DR111" s="44"/>
      <c r="DS111" s="44"/>
      <c r="DT111" s="44"/>
      <c r="DU111" s="44"/>
      <c r="DV111" s="44"/>
      <c r="DW111" s="44"/>
      <c r="DX111" s="44"/>
      <c r="DY111" s="44"/>
      <c r="DZ111" s="44"/>
      <c r="EA111" s="44"/>
      <c r="EB111" s="44"/>
      <c r="EC111" s="44"/>
      <c r="ED111" s="44"/>
      <c r="EE111" s="44"/>
      <c r="EF111" s="44"/>
      <c r="EG111" s="44"/>
    </row>
    <row r="112" spans="1:137" ht="15.75">
      <c r="A112" s="14"/>
      <c r="B112" s="57"/>
      <c r="C112" s="168"/>
      <c r="D112" s="163"/>
      <c r="E112" s="163"/>
      <c r="F112" s="163"/>
      <c r="G112" s="164"/>
      <c r="H112" s="57"/>
      <c r="I112" s="183"/>
      <c r="J112" s="163"/>
      <c r="K112" s="163"/>
      <c r="L112" s="164"/>
      <c r="M112" s="57"/>
      <c r="N112" s="57"/>
      <c r="O112" s="176"/>
      <c r="P112" s="177"/>
      <c r="Q112" s="177"/>
      <c r="R112" s="178"/>
      <c r="S112" s="133"/>
      <c r="T112" s="3">
        <v>2</v>
      </c>
      <c r="U112" s="3" t="str">
        <f>IF(D111="","",IF(T112=1,TRUE,IF(T112=2,FALSE,"IR")))</f>
        <v/>
      </c>
      <c r="V112" s="3">
        <f>IF(U112=TRUE,1,IF(U112=FALSE,1,0))</f>
        <v>0</v>
      </c>
      <c r="W112" s="3" t="str">
        <f>IF(U112="","",IF(U112=TRUE,"Ja",IF(U112=FALSE,"Nei","Ikke relevant")))</f>
        <v/>
      </c>
      <c r="BU112" s="87"/>
      <c r="BV112" s="44"/>
      <c r="BW112" s="44"/>
      <c r="BX112" s="44"/>
      <c r="BY112" s="44"/>
      <c r="BZ112" s="44"/>
      <c r="CA112" s="44"/>
      <c r="CB112" s="44"/>
      <c r="CC112" s="44"/>
      <c r="CD112" s="44"/>
      <c r="CE112" s="44"/>
      <c r="CF112" s="44"/>
      <c r="CG112" s="44"/>
      <c r="CH112" s="44"/>
      <c r="CI112" s="44"/>
      <c r="CJ112" s="44"/>
      <c r="CK112" s="44"/>
      <c r="CL112" s="44"/>
      <c r="CM112" s="44"/>
      <c r="CN112" s="44"/>
      <c r="CO112" s="44"/>
      <c r="CP112" s="44"/>
      <c r="CQ112" s="44"/>
      <c r="CR112" s="44"/>
      <c r="CS112" s="44"/>
      <c r="CT112" s="44"/>
      <c r="CU112" s="44"/>
      <c r="CV112" s="44"/>
      <c r="CW112" s="44"/>
      <c r="CX112" s="44"/>
      <c r="CY112" s="44"/>
      <c r="CZ112" s="44"/>
      <c r="DA112" s="44"/>
      <c r="DB112" s="44"/>
      <c r="DC112" s="44"/>
      <c r="DD112" s="44"/>
      <c r="DE112" s="44"/>
      <c r="DF112" s="44"/>
      <c r="DG112" s="44"/>
      <c r="DH112" s="44"/>
      <c r="DI112" s="44"/>
      <c r="DJ112" s="44"/>
      <c r="DK112" s="44"/>
      <c r="DL112" s="44"/>
      <c r="DM112" s="44"/>
      <c r="DN112" s="44"/>
      <c r="DO112" s="44"/>
      <c r="DP112" s="44"/>
      <c r="DQ112" s="44"/>
      <c r="DR112" s="44"/>
      <c r="DS112" s="44"/>
      <c r="DT112" s="44"/>
      <c r="DU112" s="44"/>
      <c r="DV112" s="44"/>
      <c r="DW112" s="44"/>
      <c r="DX112" s="44"/>
      <c r="DY112" s="44"/>
      <c r="DZ112" s="44"/>
      <c r="EA112" s="44"/>
      <c r="EB112" s="44"/>
      <c r="EC112" s="44"/>
      <c r="ED112" s="44"/>
      <c r="EE112" s="44"/>
      <c r="EF112" s="44"/>
      <c r="EG112" s="44"/>
    </row>
    <row r="113" spans="1:137" ht="15.75">
      <c r="A113" s="14"/>
      <c r="B113" s="57"/>
      <c r="C113" s="168"/>
      <c r="D113" s="163"/>
      <c r="E113" s="163"/>
      <c r="F113" s="163"/>
      <c r="G113" s="164"/>
      <c r="H113" s="57"/>
      <c r="I113" s="183"/>
      <c r="J113" s="163"/>
      <c r="K113" s="163"/>
      <c r="L113" s="164"/>
      <c r="M113" s="241" t="str">
        <f>IF(D111="","","JA")</f>
        <v/>
      </c>
      <c r="N113" s="221" t="str">
        <f>IF(D111="","","NEI")</f>
        <v/>
      </c>
      <c r="O113" s="176"/>
      <c r="P113" s="177"/>
      <c r="Q113" s="177"/>
      <c r="R113" s="178"/>
      <c r="S113" s="133"/>
      <c r="BU113" s="44"/>
      <c r="BV113" s="44"/>
      <c r="BW113" s="44"/>
      <c r="BX113" s="44"/>
      <c r="BY113" s="44"/>
      <c r="BZ113" s="44"/>
      <c r="CA113" s="44"/>
      <c r="CB113" s="44"/>
      <c r="CC113" s="44"/>
      <c r="CD113" s="44"/>
      <c r="CE113" s="44"/>
      <c r="CF113" s="44"/>
      <c r="CG113" s="44"/>
      <c r="CH113" s="44"/>
      <c r="CI113" s="44"/>
      <c r="CJ113" s="44"/>
      <c r="CK113" s="44"/>
      <c r="CL113" s="44"/>
      <c r="CM113" s="44"/>
      <c r="CN113" s="44"/>
      <c r="CO113" s="44"/>
      <c r="CP113" s="44"/>
      <c r="CQ113" s="44"/>
      <c r="CR113" s="44"/>
      <c r="CS113" s="44"/>
      <c r="CT113" s="44"/>
      <c r="CU113" s="44"/>
      <c r="CV113" s="44"/>
      <c r="CW113" s="44"/>
      <c r="CX113" s="44"/>
      <c r="CY113" s="44"/>
      <c r="CZ113" s="44"/>
      <c r="DA113" s="44"/>
      <c r="DB113" s="44"/>
      <c r="DC113" s="44"/>
      <c r="DD113" s="44"/>
      <c r="DE113" s="44"/>
      <c r="DF113" s="44"/>
      <c r="DG113" s="44"/>
      <c r="DH113" s="44"/>
      <c r="DI113" s="44"/>
      <c r="DJ113" s="44"/>
      <c r="DK113" s="44"/>
      <c r="DL113" s="44"/>
      <c r="DM113" s="44"/>
      <c r="DN113" s="44"/>
      <c r="DO113" s="44"/>
      <c r="DP113" s="44"/>
      <c r="DQ113" s="44"/>
      <c r="DR113" s="44"/>
      <c r="DS113" s="44"/>
      <c r="DT113" s="44"/>
      <c r="DU113" s="44"/>
      <c r="DV113" s="44"/>
      <c r="DW113" s="44"/>
      <c r="DX113" s="44"/>
      <c r="DY113" s="44"/>
      <c r="DZ113" s="44"/>
      <c r="EA113" s="44"/>
      <c r="EB113" s="44"/>
      <c r="EC113" s="44"/>
      <c r="ED113" s="44"/>
      <c r="EE113" s="44"/>
      <c r="EF113" s="44"/>
      <c r="EG113" s="44"/>
    </row>
    <row r="114" spans="1:137" ht="15.75">
      <c r="A114" s="14"/>
      <c r="B114" s="57"/>
      <c r="C114" s="168"/>
      <c r="D114" s="163"/>
      <c r="E114" s="163"/>
      <c r="F114" s="163"/>
      <c r="G114" s="164"/>
      <c r="H114" s="57"/>
      <c r="I114" s="183"/>
      <c r="J114" s="163"/>
      <c r="K114" s="163"/>
      <c r="L114" s="164"/>
      <c r="M114" s="241"/>
      <c r="N114" s="221"/>
      <c r="O114" s="176"/>
      <c r="P114" s="177"/>
      <c r="Q114" s="177"/>
      <c r="R114" s="178"/>
      <c r="S114" s="133"/>
      <c r="BU114" s="44"/>
      <c r="BV114" s="44"/>
      <c r="BW114" s="44"/>
      <c r="BX114" s="44"/>
      <c r="BY114" s="44"/>
      <c r="BZ114" s="44"/>
      <c r="CA114" s="44"/>
      <c r="CB114" s="44"/>
      <c r="CC114" s="44"/>
      <c r="CD114" s="44"/>
      <c r="CE114" s="44"/>
      <c r="CF114" s="44"/>
      <c r="CG114" s="44"/>
      <c r="CH114" s="44"/>
      <c r="CI114" s="44"/>
      <c r="CJ114" s="44"/>
      <c r="CK114" s="44"/>
      <c r="CL114" s="44"/>
      <c r="CM114" s="44"/>
      <c r="CN114" s="44"/>
      <c r="CO114" s="44"/>
      <c r="CP114" s="44"/>
      <c r="CQ114" s="44"/>
      <c r="CR114" s="44"/>
      <c r="CS114" s="44"/>
      <c r="CT114" s="44"/>
      <c r="CU114" s="44"/>
      <c r="CV114" s="44"/>
      <c r="CW114" s="44"/>
      <c r="CX114" s="44"/>
      <c r="CY114" s="44"/>
      <c r="CZ114" s="44"/>
      <c r="DA114" s="44"/>
      <c r="DB114" s="44"/>
      <c r="DC114" s="44"/>
      <c r="DD114" s="44"/>
      <c r="DE114" s="44"/>
      <c r="DF114" s="44"/>
      <c r="DG114" s="44"/>
      <c r="DH114" s="44"/>
      <c r="DI114" s="44"/>
      <c r="DJ114" s="44"/>
      <c r="DK114" s="44"/>
      <c r="DL114" s="44"/>
      <c r="DM114" s="44"/>
      <c r="DN114" s="44"/>
      <c r="DO114" s="44"/>
      <c r="DP114" s="44"/>
      <c r="DQ114" s="44"/>
      <c r="DR114" s="44"/>
      <c r="DS114" s="44"/>
      <c r="DT114" s="44"/>
      <c r="DU114" s="44"/>
      <c r="DV114" s="44"/>
      <c r="DW114" s="44"/>
      <c r="DX114" s="44"/>
      <c r="DY114" s="44"/>
      <c r="DZ114" s="44"/>
      <c r="EA114" s="44"/>
      <c r="EB114" s="44"/>
      <c r="EC114" s="44"/>
      <c r="ED114" s="44"/>
      <c r="EE114" s="44"/>
      <c r="EF114" s="44"/>
      <c r="EG114" s="44"/>
    </row>
    <row r="115" spans="1:137" ht="15.75">
      <c r="A115" s="14"/>
      <c r="B115" s="57"/>
      <c r="C115" s="168"/>
      <c r="D115" s="163"/>
      <c r="E115" s="163"/>
      <c r="F115" s="163"/>
      <c r="G115" s="164"/>
      <c r="H115" s="57"/>
      <c r="I115" s="183"/>
      <c r="J115" s="163"/>
      <c r="K115" s="163"/>
      <c r="L115" s="164"/>
      <c r="M115" s="57"/>
      <c r="N115" s="57"/>
      <c r="O115" s="176"/>
      <c r="P115" s="177"/>
      <c r="Q115" s="177"/>
      <c r="R115" s="178"/>
      <c r="S115" s="133"/>
      <c r="BU115" s="44"/>
      <c r="BV115" s="44"/>
      <c r="BW115" s="44"/>
      <c r="BX115" s="44"/>
      <c r="BY115" s="44"/>
      <c r="BZ115" s="44"/>
      <c r="CA115" s="44"/>
      <c r="CB115" s="44"/>
      <c r="CC115" s="44"/>
      <c r="CD115" s="44"/>
      <c r="CE115" s="44"/>
      <c r="CF115" s="44"/>
      <c r="CG115" s="44"/>
      <c r="CH115" s="44"/>
      <c r="CI115" s="44"/>
      <c r="CJ115" s="44"/>
      <c r="CK115" s="44"/>
      <c r="CL115" s="44"/>
      <c r="CM115" s="44"/>
      <c r="CN115" s="44"/>
      <c r="CO115" s="44"/>
      <c r="CP115" s="44"/>
      <c r="CQ115" s="44"/>
      <c r="CR115" s="44"/>
      <c r="CS115" s="44"/>
      <c r="CT115" s="44"/>
      <c r="CU115" s="44"/>
      <c r="CV115" s="44"/>
      <c r="CW115" s="44"/>
      <c r="CX115" s="44"/>
      <c r="CY115" s="44"/>
      <c r="CZ115" s="44"/>
      <c r="DA115" s="44"/>
      <c r="DB115" s="44"/>
      <c r="DC115" s="44"/>
      <c r="DD115" s="44"/>
      <c r="DE115" s="44"/>
      <c r="DF115" s="44"/>
      <c r="DG115" s="44"/>
      <c r="DH115" s="44"/>
      <c r="DI115" s="44"/>
      <c r="DJ115" s="44"/>
      <c r="DK115" s="44"/>
      <c r="DL115" s="44"/>
      <c r="DM115" s="44"/>
      <c r="DN115" s="44"/>
      <c r="DO115" s="44"/>
      <c r="DP115" s="44"/>
      <c r="DQ115" s="44"/>
      <c r="DR115" s="44"/>
      <c r="DS115" s="44"/>
      <c r="DT115" s="44"/>
      <c r="DU115" s="44"/>
      <c r="DV115" s="44"/>
      <c r="DW115" s="44"/>
      <c r="DX115" s="44"/>
      <c r="DY115" s="44"/>
      <c r="DZ115" s="44"/>
      <c r="EA115" s="44"/>
      <c r="EB115" s="44"/>
      <c r="EC115" s="44"/>
      <c r="ED115" s="44"/>
      <c r="EE115" s="44"/>
      <c r="EF115" s="44"/>
      <c r="EG115" s="44"/>
    </row>
    <row r="116" spans="1:137" ht="15.75">
      <c r="A116" s="14"/>
      <c r="B116" s="57"/>
      <c r="C116" s="169"/>
      <c r="D116" s="165"/>
      <c r="E116" s="165"/>
      <c r="F116" s="165"/>
      <c r="G116" s="166"/>
      <c r="H116" s="57"/>
      <c r="I116" s="184"/>
      <c r="J116" s="165"/>
      <c r="K116" s="165"/>
      <c r="L116" s="166"/>
      <c r="M116" s="57"/>
      <c r="N116" s="57"/>
      <c r="O116" s="179"/>
      <c r="P116" s="180"/>
      <c r="Q116" s="180"/>
      <c r="R116" s="181"/>
      <c r="S116" s="133"/>
      <c r="BU116" s="44"/>
      <c r="BV116" s="44"/>
      <c r="BW116" s="44"/>
      <c r="BX116" s="44"/>
      <c r="BY116" s="44"/>
      <c r="BZ116" s="44"/>
      <c r="CA116" s="44"/>
      <c r="CB116" s="44"/>
      <c r="CC116" s="44"/>
      <c r="CD116" s="44"/>
      <c r="CE116" s="44"/>
      <c r="CF116" s="44"/>
      <c r="CG116" s="44"/>
      <c r="CH116" s="44"/>
      <c r="CI116" s="44"/>
      <c r="CJ116" s="44"/>
      <c r="CK116" s="44"/>
      <c r="CL116" s="44"/>
      <c r="CM116" s="44"/>
      <c r="CN116" s="44"/>
      <c r="CO116" s="44"/>
      <c r="CP116" s="44"/>
      <c r="CQ116" s="44"/>
      <c r="CR116" s="44"/>
      <c r="CS116" s="44"/>
      <c r="CT116" s="44"/>
      <c r="CU116" s="44"/>
      <c r="CV116" s="44"/>
      <c r="CW116" s="44"/>
      <c r="CX116" s="44"/>
      <c r="CY116" s="44"/>
      <c r="CZ116" s="44"/>
      <c r="DA116" s="44"/>
      <c r="DB116" s="44"/>
      <c r="DC116" s="44"/>
      <c r="DD116" s="44"/>
      <c r="DE116" s="44"/>
      <c r="DF116" s="44"/>
      <c r="DG116" s="44"/>
      <c r="DH116" s="44"/>
      <c r="DI116" s="44"/>
      <c r="DJ116" s="44"/>
      <c r="DK116" s="44"/>
      <c r="DL116" s="44"/>
      <c r="DM116" s="44"/>
      <c r="DN116" s="44"/>
      <c r="DO116" s="44"/>
      <c r="DP116" s="44"/>
      <c r="DQ116" s="44"/>
      <c r="DR116" s="44"/>
      <c r="DS116" s="44"/>
      <c r="DT116" s="44"/>
      <c r="DU116" s="44"/>
      <c r="DV116" s="44"/>
      <c r="DW116" s="44"/>
      <c r="DX116" s="44"/>
      <c r="DY116" s="44"/>
      <c r="DZ116" s="44"/>
      <c r="EA116" s="44"/>
      <c r="EB116" s="44"/>
      <c r="EC116" s="44"/>
      <c r="ED116" s="44"/>
      <c r="EE116" s="44"/>
      <c r="EF116" s="44"/>
      <c r="EG116" s="44"/>
    </row>
    <row r="117" spans="1:137" ht="15.75">
      <c r="A117" s="14"/>
      <c r="B117" s="57"/>
      <c r="C117" s="57"/>
      <c r="D117" s="57"/>
      <c r="E117" s="57"/>
      <c r="F117" s="57"/>
      <c r="G117" s="57"/>
      <c r="H117" s="57"/>
      <c r="I117" s="57"/>
      <c r="J117" s="57"/>
      <c r="K117" s="57"/>
      <c r="L117" s="57"/>
      <c r="M117" s="57"/>
      <c r="N117" s="57"/>
      <c r="O117" s="57"/>
      <c r="P117" s="57"/>
      <c r="Q117" s="57"/>
      <c r="R117" s="57"/>
      <c r="S117" s="132" t="str">
        <f>IF(OR(T63=TRUE,U63=TRUE,U67=TRUE,S65=TRUE,V65=TRUE,T69=TRUE,U69=TRUE),"Til utskrift","")</f>
        <v/>
      </c>
      <c r="BU117" s="87"/>
      <c r="BV117" s="44"/>
      <c r="BW117" s="44"/>
      <c r="BX117" s="44"/>
      <c r="BY117" s="44"/>
      <c r="BZ117" s="44"/>
      <c r="CA117" s="44"/>
      <c r="CB117" s="44"/>
      <c r="CC117" s="44"/>
      <c r="CD117" s="44"/>
      <c r="CE117" s="44"/>
      <c r="CF117" s="44"/>
      <c r="CG117" s="44"/>
      <c r="CH117" s="44"/>
      <c r="CI117" s="44"/>
      <c r="CJ117" s="44"/>
      <c r="CK117" s="44"/>
      <c r="CL117" s="44"/>
      <c r="CM117" s="44"/>
      <c r="CN117" s="44"/>
      <c r="CO117" s="44"/>
      <c r="CP117" s="44"/>
      <c r="CQ117" s="44"/>
      <c r="CR117" s="44"/>
      <c r="CS117" s="44"/>
      <c r="CT117" s="44"/>
      <c r="CU117" s="44"/>
      <c r="CV117" s="44"/>
      <c r="CW117" s="44"/>
      <c r="CX117" s="44"/>
      <c r="CY117" s="44"/>
      <c r="CZ117" s="44"/>
      <c r="DA117" s="44"/>
      <c r="DB117" s="44"/>
      <c r="DC117" s="44"/>
      <c r="DD117" s="44"/>
      <c r="DE117" s="44"/>
      <c r="DF117" s="44"/>
      <c r="DG117" s="44"/>
      <c r="DH117" s="44"/>
      <c r="DI117" s="44"/>
      <c r="DJ117" s="44"/>
      <c r="DK117" s="44"/>
      <c r="DL117" s="44"/>
      <c r="DM117" s="44"/>
      <c r="DN117" s="44"/>
      <c r="DO117" s="44"/>
      <c r="DP117" s="44"/>
      <c r="DQ117" s="44"/>
      <c r="DR117" s="44"/>
      <c r="DS117" s="44"/>
      <c r="DT117" s="44"/>
      <c r="DU117" s="44"/>
      <c r="DV117" s="44"/>
      <c r="DW117" s="44"/>
      <c r="DX117" s="44"/>
      <c r="DY117" s="44"/>
      <c r="DZ117" s="44"/>
      <c r="EA117" s="44"/>
      <c r="EB117" s="44"/>
      <c r="EC117" s="44"/>
      <c r="ED117" s="44"/>
      <c r="EE117" s="44"/>
      <c r="EF117" s="44"/>
      <c r="EG117" s="44"/>
    </row>
    <row r="118" spans="1:137" ht="15" customHeight="1">
      <c r="A118" s="14"/>
      <c r="B118" s="57"/>
      <c r="C118" s="167" t="str">
        <f>IF($R$60=1,"",$AS$73)</f>
        <v/>
      </c>
      <c r="D118" s="161" t="str">
        <f>IF($R$60=1,"",$AT$73)</f>
        <v/>
      </c>
      <c r="E118" s="161"/>
      <c r="F118" s="161"/>
      <c r="G118" s="162"/>
      <c r="H118" s="57"/>
      <c r="I118" s="182" t="str">
        <f>IF($R$60=1,"",$AU$73)</f>
        <v/>
      </c>
      <c r="J118" s="161"/>
      <c r="K118" s="161" t="str">
        <f>IF($R$60=1,"",$AV$73)</f>
        <v/>
      </c>
      <c r="L118" s="162"/>
      <c r="M118" s="57"/>
      <c r="N118" s="57"/>
      <c r="O118" s="173"/>
      <c r="P118" s="174"/>
      <c r="Q118" s="174"/>
      <c r="R118" s="175"/>
      <c r="S118" s="138" t="str">
        <f>IF(O118="","",LEN(O118)&amp;" tegn")</f>
        <v/>
      </c>
      <c r="BU118" s="44"/>
      <c r="BV118" s="44"/>
      <c r="BW118" s="44"/>
      <c r="BX118" s="44"/>
      <c r="BY118" s="44"/>
      <c r="BZ118" s="44"/>
      <c r="CA118" s="44"/>
      <c r="CB118" s="44"/>
      <c r="CC118" s="44"/>
      <c r="CD118" s="44"/>
      <c r="CE118" s="44"/>
      <c r="CF118" s="44"/>
      <c r="CG118" s="44"/>
      <c r="CH118" s="44"/>
      <c r="CI118" s="44"/>
      <c r="CJ118" s="44"/>
      <c r="CK118" s="44"/>
      <c r="CL118" s="44"/>
      <c r="CM118" s="44"/>
      <c r="CN118" s="44"/>
      <c r="CO118" s="44"/>
      <c r="CP118" s="44"/>
      <c r="CQ118" s="44"/>
      <c r="CR118" s="44"/>
      <c r="CS118" s="44"/>
      <c r="CT118" s="44"/>
      <c r="CU118" s="44"/>
      <c r="CV118" s="44"/>
      <c r="CW118" s="44"/>
      <c r="CX118" s="44"/>
      <c r="CY118" s="44"/>
      <c r="CZ118" s="44"/>
      <c r="DA118" s="44"/>
      <c r="DB118" s="44"/>
      <c r="DC118" s="44"/>
      <c r="DD118" s="44"/>
      <c r="DE118" s="44"/>
      <c r="DF118" s="44"/>
      <c r="DG118" s="44"/>
      <c r="DH118" s="44"/>
      <c r="DI118" s="44"/>
      <c r="DJ118" s="44"/>
      <c r="DK118" s="44"/>
      <c r="DL118" s="44"/>
      <c r="DM118" s="44"/>
      <c r="DN118" s="44"/>
      <c r="DO118" s="44"/>
      <c r="DP118" s="44"/>
      <c r="DQ118" s="44"/>
      <c r="DR118" s="44"/>
      <c r="DS118" s="44"/>
      <c r="DT118" s="44"/>
      <c r="DU118" s="44"/>
      <c r="DV118" s="44"/>
      <c r="DW118" s="44"/>
      <c r="DX118" s="44"/>
      <c r="DY118" s="44"/>
      <c r="DZ118" s="44"/>
      <c r="EA118" s="44"/>
      <c r="EB118" s="44"/>
      <c r="EC118" s="44"/>
      <c r="ED118" s="44"/>
      <c r="EE118" s="44"/>
      <c r="EF118" s="44"/>
      <c r="EG118" s="44"/>
    </row>
    <row r="119" spans="1:137" ht="15.75">
      <c r="A119" s="14"/>
      <c r="B119" s="57"/>
      <c r="C119" s="168"/>
      <c r="D119" s="163"/>
      <c r="E119" s="163"/>
      <c r="F119" s="163"/>
      <c r="G119" s="164"/>
      <c r="H119" s="57"/>
      <c r="I119" s="183"/>
      <c r="J119" s="163"/>
      <c r="K119" s="163"/>
      <c r="L119" s="164"/>
      <c r="M119" s="69"/>
      <c r="N119" s="57"/>
      <c r="O119" s="176"/>
      <c r="P119" s="177"/>
      <c r="Q119" s="177"/>
      <c r="R119" s="178"/>
      <c r="S119" s="133"/>
      <c r="T119" s="3">
        <v>2</v>
      </c>
      <c r="U119" s="3" t="str">
        <f>IF(D118="","",IF(T119=1,TRUE,IF(T119=2,FALSE,IF(Y119=TRUE,TRUE,"IR"))))</f>
        <v/>
      </c>
      <c r="V119" s="3">
        <f>IF(U119=TRUE,1,IF(U119=FALSE,1,0))</f>
        <v>0</v>
      </c>
      <c r="W119" s="3" t="str">
        <f>IF(U119="","",IF(Y119=TRUE,"Ikke bekreftet",IF(U119=TRUE,"Ja",IF(U119=FALSE,"Nei",X119))))</f>
        <v/>
      </c>
      <c r="X119" s="3" t="str">
        <f>IF(R48=3,"Ikke relevant",IF(R48=2,"Ikke bekreftet",""))</f>
        <v/>
      </c>
      <c r="Y119" s="3" t="b">
        <f>IF(R48=2,IF(T119=3,TRUE,FALSE))</f>
        <v>0</v>
      </c>
      <c r="BU119" s="44"/>
      <c r="BV119" s="44"/>
      <c r="BW119" s="44"/>
      <c r="BX119" s="44"/>
      <c r="BY119" s="44"/>
      <c r="BZ119" s="44"/>
      <c r="CA119" s="44"/>
      <c r="CB119" s="44"/>
      <c r="CC119" s="44"/>
      <c r="CD119" s="44"/>
      <c r="CE119" s="44"/>
      <c r="CF119" s="44"/>
      <c r="CG119" s="44"/>
      <c r="CH119" s="44"/>
      <c r="CI119" s="44"/>
      <c r="CJ119" s="44"/>
      <c r="CK119" s="44"/>
      <c r="CL119" s="44"/>
      <c r="CM119" s="44"/>
      <c r="CN119" s="44"/>
      <c r="CO119" s="44"/>
      <c r="CP119" s="44"/>
      <c r="CQ119" s="44"/>
      <c r="CR119" s="44"/>
      <c r="CS119" s="44"/>
      <c r="CT119" s="44"/>
      <c r="CU119" s="44"/>
      <c r="CV119" s="44"/>
      <c r="CW119" s="44"/>
      <c r="CX119" s="44"/>
      <c r="CY119" s="44"/>
      <c r="CZ119" s="44"/>
      <c r="DA119" s="44"/>
      <c r="DB119" s="44"/>
      <c r="DC119" s="44"/>
      <c r="DD119" s="44"/>
      <c r="DE119" s="44"/>
      <c r="DF119" s="44"/>
      <c r="DG119" s="44"/>
      <c r="DH119" s="44"/>
      <c r="DI119" s="44"/>
      <c r="DJ119" s="44"/>
      <c r="DK119" s="44"/>
      <c r="DL119" s="44"/>
      <c r="DM119" s="44"/>
      <c r="DN119" s="44"/>
      <c r="DO119" s="44"/>
      <c r="DP119" s="44"/>
      <c r="DQ119" s="44"/>
      <c r="DR119" s="44"/>
      <c r="DS119" s="44"/>
      <c r="DT119" s="44"/>
      <c r="DU119" s="44"/>
      <c r="DV119" s="44"/>
      <c r="DW119" s="44"/>
      <c r="DX119" s="44"/>
      <c r="DY119" s="44"/>
      <c r="DZ119" s="44"/>
      <c r="EA119" s="44"/>
      <c r="EB119" s="44"/>
      <c r="EC119" s="44"/>
      <c r="ED119" s="44"/>
      <c r="EE119" s="44"/>
      <c r="EF119" s="44"/>
      <c r="EG119" s="44"/>
    </row>
    <row r="120" spans="1:137" ht="15.75">
      <c r="A120" s="14"/>
      <c r="B120" s="57"/>
      <c r="C120" s="168"/>
      <c r="D120" s="163"/>
      <c r="E120" s="163"/>
      <c r="F120" s="163"/>
      <c r="G120" s="164"/>
      <c r="H120" s="57"/>
      <c r="I120" s="183"/>
      <c r="J120" s="163"/>
      <c r="K120" s="163"/>
      <c r="L120" s="164"/>
      <c r="M120" s="70" t="str">
        <f>IF(D118="","","JA")</f>
        <v/>
      </c>
      <c r="N120" s="71" t="str">
        <f>IF(D118="","","NEI")</f>
        <v/>
      </c>
      <c r="O120" s="176"/>
      <c r="P120" s="177"/>
      <c r="Q120" s="177"/>
      <c r="R120" s="178"/>
      <c r="S120" s="133"/>
      <c r="BU120" s="87"/>
      <c r="BV120" s="44"/>
      <c r="BW120" s="44"/>
      <c r="BX120" s="44"/>
      <c r="BY120" s="44"/>
      <c r="BZ120" s="44"/>
      <c r="CA120" s="44"/>
      <c r="CB120" s="44"/>
      <c r="CC120" s="44"/>
      <c r="CD120" s="44"/>
      <c r="CE120" s="44"/>
      <c r="CF120" s="44"/>
      <c r="CG120" s="44"/>
      <c r="CH120" s="44"/>
      <c r="CI120" s="44"/>
      <c r="CJ120" s="44"/>
      <c r="CK120" s="44"/>
      <c r="CL120" s="44"/>
      <c r="CM120" s="44"/>
      <c r="CN120" s="44"/>
      <c r="CO120" s="44"/>
      <c r="CP120" s="44"/>
      <c r="CQ120" s="44"/>
      <c r="CR120" s="44"/>
      <c r="CS120" s="44"/>
      <c r="CT120" s="44"/>
      <c r="CU120" s="44"/>
      <c r="CV120" s="44"/>
      <c r="CW120" s="44"/>
      <c r="CX120" s="44"/>
      <c r="CY120" s="44"/>
      <c r="CZ120" s="44"/>
      <c r="DA120" s="44"/>
      <c r="DB120" s="44"/>
      <c r="DC120" s="44"/>
      <c r="DD120" s="44"/>
      <c r="DE120" s="44"/>
      <c r="DF120" s="44"/>
      <c r="DG120" s="44"/>
      <c r="DH120" s="44"/>
      <c r="DI120" s="44"/>
      <c r="DJ120" s="44"/>
      <c r="DK120" s="44"/>
      <c r="DL120" s="44"/>
      <c r="DM120" s="44"/>
      <c r="DN120" s="44"/>
      <c r="DO120" s="44"/>
      <c r="DP120" s="44"/>
      <c r="DQ120" s="44"/>
      <c r="DR120" s="44"/>
      <c r="DS120" s="44"/>
      <c r="DT120" s="44"/>
      <c r="DU120" s="44"/>
      <c r="DV120" s="44"/>
      <c r="DW120" s="44"/>
      <c r="DX120" s="44"/>
      <c r="DY120" s="44"/>
      <c r="DZ120" s="44"/>
      <c r="EA120" s="44"/>
      <c r="EB120" s="44"/>
      <c r="EC120" s="44"/>
      <c r="ED120" s="44"/>
      <c r="EE120" s="44"/>
      <c r="EF120" s="44"/>
      <c r="EG120" s="44"/>
    </row>
    <row r="121" spans="1:137" ht="15.75">
      <c r="A121" s="14"/>
      <c r="B121" s="57"/>
      <c r="C121" s="168"/>
      <c r="D121" s="163"/>
      <c r="E121" s="163"/>
      <c r="F121" s="163"/>
      <c r="G121" s="164"/>
      <c r="H121" s="57"/>
      <c r="I121" s="183"/>
      <c r="J121" s="163"/>
      <c r="K121" s="163"/>
      <c r="L121" s="164"/>
      <c r="M121" s="57"/>
      <c r="N121" s="71"/>
      <c r="O121" s="176"/>
      <c r="P121" s="177"/>
      <c r="Q121" s="177"/>
      <c r="R121" s="178"/>
      <c r="S121" s="133"/>
      <c r="BU121" s="87"/>
      <c r="BV121" s="44"/>
      <c r="BW121" s="44"/>
      <c r="BX121" s="44"/>
      <c r="BY121" s="44"/>
      <c r="BZ121" s="44"/>
      <c r="CA121" s="44"/>
      <c r="CB121" s="44"/>
      <c r="CC121" s="44"/>
      <c r="CD121" s="44"/>
      <c r="CE121" s="44"/>
      <c r="CF121" s="44"/>
      <c r="CG121" s="44"/>
      <c r="CH121" s="44"/>
      <c r="CI121" s="44"/>
      <c r="CJ121" s="44"/>
      <c r="CK121" s="44"/>
      <c r="CL121" s="44"/>
      <c r="CM121" s="44"/>
      <c r="CN121" s="44"/>
      <c r="CO121" s="44"/>
      <c r="CP121" s="44"/>
      <c r="CQ121" s="44"/>
      <c r="CR121" s="44"/>
      <c r="CS121" s="44"/>
      <c r="CT121" s="44"/>
      <c r="CU121" s="44"/>
      <c r="CV121" s="44"/>
      <c r="CW121" s="44"/>
      <c r="CX121" s="44"/>
      <c r="CY121" s="44"/>
      <c r="CZ121" s="44"/>
      <c r="DA121" s="44"/>
      <c r="DB121" s="44"/>
      <c r="DC121" s="44"/>
      <c r="DD121" s="44"/>
      <c r="DE121" s="44"/>
      <c r="DF121" s="44"/>
      <c r="DG121" s="44"/>
      <c r="DH121" s="44"/>
      <c r="DI121" s="44"/>
      <c r="DJ121" s="44"/>
      <c r="DK121" s="44"/>
      <c r="DL121" s="44"/>
      <c r="DM121" s="44"/>
      <c r="DN121" s="44"/>
      <c r="DO121" s="44"/>
      <c r="DP121" s="44"/>
      <c r="DQ121" s="44"/>
      <c r="DR121" s="44"/>
      <c r="DS121" s="44"/>
      <c r="DT121" s="44"/>
      <c r="DU121" s="44"/>
      <c r="DV121" s="44"/>
      <c r="DW121" s="44"/>
      <c r="DX121" s="44"/>
      <c r="DY121" s="44"/>
      <c r="DZ121" s="44"/>
      <c r="EA121" s="44"/>
      <c r="EB121" s="44"/>
      <c r="EC121" s="44"/>
      <c r="ED121" s="44"/>
      <c r="EE121" s="44"/>
      <c r="EF121" s="44"/>
      <c r="EG121" s="44"/>
    </row>
    <row r="122" spans="1:137" ht="15.75">
      <c r="A122" s="14"/>
      <c r="B122" s="57"/>
      <c r="C122" s="168"/>
      <c r="D122" s="163"/>
      <c r="E122" s="163"/>
      <c r="F122" s="163"/>
      <c r="G122" s="164"/>
      <c r="H122" s="57"/>
      <c r="I122" s="183"/>
      <c r="J122" s="163"/>
      <c r="K122" s="163"/>
      <c r="L122" s="164"/>
      <c r="M122" s="242" t="str">
        <f>IF(D118="","",IF(OR(D118="",V48=TRUE),"IKKE RELEVANT","(dette valget kan 
ikke benyttes nå)"))</f>
        <v/>
      </c>
      <c r="N122" s="243"/>
      <c r="O122" s="176"/>
      <c r="P122" s="177"/>
      <c r="Q122" s="177"/>
      <c r="R122" s="178"/>
      <c r="S122" s="133"/>
      <c r="BU122" s="87"/>
      <c r="BV122" s="44"/>
      <c r="BW122" s="44"/>
      <c r="BX122" s="44"/>
      <c r="BY122" s="44"/>
      <c r="BZ122" s="44"/>
      <c r="CA122" s="44"/>
      <c r="CB122" s="44"/>
      <c r="CC122" s="44"/>
      <c r="CD122" s="44"/>
      <c r="CE122" s="44"/>
      <c r="CF122" s="44"/>
      <c r="CG122" s="44"/>
      <c r="CH122" s="44"/>
      <c r="CI122" s="44"/>
      <c r="CJ122" s="44"/>
      <c r="CK122" s="44"/>
      <c r="CL122" s="44"/>
      <c r="CM122" s="44"/>
      <c r="CN122" s="44"/>
      <c r="CO122" s="44"/>
      <c r="CP122" s="44"/>
      <c r="CQ122" s="44"/>
      <c r="CR122" s="44"/>
      <c r="CS122" s="44"/>
      <c r="CT122" s="44"/>
      <c r="CU122" s="44"/>
      <c r="CV122" s="44"/>
      <c r="CW122" s="44"/>
      <c r="CX122" s="44"/>
      <c r="CY122" s="44"/>
      <c r="CZ122" s="44"/>
      <c r="DA122" s="44"/>
      <c r="DB122" s="44"/>
      <c r="DC122" s="44"/>
      <c r="DD122" s="44"/>
      <c r="DE122" s="44"/>
      <c r="DF122" s="44"/>
      <c r="DG122" s="44"/>
      <c r="DH122" s="44"/>
      <c r="DI122" s="44"/>
      <c r="DJ122" s="44"/>
      <c r="DK122" s="44"/>
      <c r="DL122" s="44"/>
      <c r="DM122" s="44"/>
      <c r="DN122" s="44"/>
      <c r="DO122" s="44"/>
      <c r="DP122" s="44"/>
      <c r="DQ122" s="44"/>
      <c r="DR122" s="44"/>
      <c r="DS122" s="44"/>
      <c r="DT122" s="44"/>
      <c r="DU122" s="44"/>
      <c r="DV122" s="44"/>
      <c r="DW122" s="44"/>
      <c r="DX122" s="44"/>
      <c r="DY122" s="44"/>
      <c r="DZ122" s="44"/>
      <c r="EA122" s="44"/>
      <c r="EB122" s="44"/>
      <c r="EC122" s="44"/>
      <c r="ED122" s="44"/>
      <c r="EE122" s="44"/>
      <c r="EF122" s="44"/>
      <c r="EG122" s="44"/>
    </row>
    <row r="123" spans="1:137" ht="15.75">
      <c r="A123" s="14"/>
      <c r="B123" s="57"/>
      <c r="C123" s="169"/>
      <c r="D123" s="165"/>
      <c r="E123" s="165"/>
      <c r="F123" s="165"/>
      <c r="G123" s="166"/>
      <c r="H123" s="57"/>
      <c r="I123" s="184"/>
      <c r="J123" s="165"/>
      <c r="K123" s="165"/>
      <c r="L123" s="166"/>
      <c r="M123" s="242"/>
      <c r="N123" s="243"/>
      <c r="O123" s="179"/>
      <c r="P123" s="180"/>
      <c r="Q123" s="180"/>
      <c r="R123" s="181"/>
      <c r="S123" s="133"/>
      <c r="BU123" s="44"/>
      <c r="BV123" s="44"/>
      <c r="BW123" s="44"/>
      <c r="BX123" s="44"/>
      <c r="BY123" s="44"/>
      <c r="BZ123" s="44"/>
      <c r="CA123" s="44"/>
      <c r="CB123" s="44"/>
      <c r="CC123" s="44"/>
      <c r="CD123" s="44"/>
      <c r="CE123" s="44"/>
      <c r="CF123" s="44"/>
      <c r="CG123" s="44"/>
      <c r="CH123" s="44"/>
      <c r="CI123" s="44"/>
      <c r="CJ123" s="44"/>
      <c r="CK123" s="44"/>
      <c r="CL123" s="44"/>
      <c r="CM123" s="44"/>
      <c r="CN123" s="44"/>
      <c r="CO123" s="44"/>
      <c r="CP123" s="44"/>
      <c r="CQ123" s="44"/>
      <c r="CR123" s="44"/>
      <c r="CS123" s="44"/>
      <c r="CT123" s="44"/>
      <c r="CU123" s="44"/>
      <c r="CV123" s="44"/>
      <c r="CW123" s="44"/>
      <c r="CX123" s="44"/>
      <c r="CY123" s="44"/>
      <c r="CZ123" s="44"/>
      <c r="DA123" s="44"/>
      <c r="DB123" s="44"/>
      <c r="DC123" s="44"/>
      <c r="DD123" s="44"/>
      <c r="DE123" s="44"/>
      <c r="DF123" s="44"/>
      <c r="DG123" s="44"/>
      <c r="DH123" s="44"/>
      <c r="DI123" s="44"/>
      <c r="DJ123" s="44"/>
      <c r="DK123" s="44"/>
      <c r="DL123" s="44"/>
      <c r="DM123" s="44"/>
      <c r="DN123" s="44"/>
      <c r="DO123" s="44"/>
      <c r="DP123" s="44"/>
      <c r="DQ123" s="44"/>
      <c r="DR123" s="44"/>
      <c r="DS123" s="44"/>
      <c r="DT123" s="44"/>
      <c r="DU123" s="44"/>
      <c r="DV123" s="44"/>
      <c r="DW123" s="44"/>
      <c r="DX123" s="44"/>
      <c r="DY123" s="44"/>
      <c r="DZ123" s="44"/>
      <c r="EA123" s="44"/>
      <c r="EB123" s="44"/>
      <c r="EC123" s="44"/>
      <c r="ED123" s="44"/>
      <c r="EE123" s="44"/>
      <c r="EF123" s="44"/>
      <c r="EG123" s="44"/>
    </row>
    <row r="124" spans="1:137" ht="15.75">
      <c r="A124" s="14"/>
      <c r="B124" s="57"/>
      <c r="C124" s="57"/>
      <c r="D124" s="57"/>
      <c r="E124" s="57"/>
      <c r="F124" s="57"/>
      <c r="G124" s="57"/>
      <c r="H124" s="57"/>
      <c r="I124" s="57"/>
      <c r="J124" s="57"/>
      <c r="K124" s="57"/>
      <c r="L124" s="57"/>
      <c r="M124" s="57"/>
      <c r="N124" s="57"/>
      <c r="O124" s="57"/>
      <c r="P124" s="57"/>
      <c r="Q124" s="57"/>
      <c r="R124" s="57"/>
      <c r="S124" s="132" t="str">
        <f>IF(OR(S62=TRUE,T66=TRUE,U66=TRUE,T67=TRUE,T70=TRUE,U70=TRUE,V62=TRUE,V63=TRUE,V66=TRUE,V71=TRUE,V70=TRUE),"Til utskrift","")</f>
        <v/>
      </c>
      <c r="BU124" s="87"/>
      <c r="BV124" s="44"/>
      <c r="BW124" s="44"/>
      <c r="BX124" s="44"/>
      <c r="BY124" s="44"/>
      <c r="BZ124" s="44"/>
      <c r="CA124" s="44"/>
      <c r="CB124" s="44"/>
      <c r="CC124" s="44"/>
      <c r="CD124" s="44"/>
      <c r="CE124" s="44"/>
      <c r="CF124" s="44"/>
      <c r="CG124" s="44"/>
      <c r="CH124" s="44"/>
      <c r="CI124" s="44"/>
      <c r="CJ124" s="44"/>
      <c r="CK124" s="44"/>
      <c r="CL124" s="44"/>
      <c r="CM124" s="44"/>
      <c r="CN124" s="44"/>
      <c r="CO124" s="44"/>
      <c r="CP124" s="44"/>
      <c r="CQ124" s="44"/>
      <c r="CR124" s="44"/>
      <c r="CS124" s="44"/>
      <c r="CT124" s="44"/>
      <c r="CU124" s="44"/>
      <c r="CV124" s="44"/>
      <c r="CW124" s="44"/>
      <c r="CX124" s="44"/>
      <c r="CY124" s="44"/>
      <c r="CZ124" s="44"/>
      <c r="DA124" s="44"/>
      <c r="DB124" s="44"/>
      <c r="DC124" s="44"/>
      <c r="DD124" s="44"/>
      <c r="DE124" s="44"/>
      <c r="DF124" s="44"/>
      <c r="DG124" s="44"/>
      <c r="DH124" s="44"/>
      <c r="DI124" s="44"/>
      <c r="DJ124" s="44"/>
      <c r="DK124" s="44"/>
      <c r="DL124" s="44"/>
      <c r="DM124" s="44"/>
      <c r="DN124" s="44"/>
      <c r="DO124" s="44"/>
      <c r="DP124" s="44"/>
      <c r="DQ124" s="44"/>
      <c r="DR124" s="44"/>
      <c r="DS124" s="44"/>
      <c r="DT124" s="44"/>
      <c r="DU124" s="44"/>
      <c r="DV124" s="44"/>
      <c r="DW124" s="44"/>
      <c r="DX124" s="44"/>
      <c r="DY124" s="44"/>
      <c r="DZ124" s="44"/>
      <c r="EA124" s="44"/>
      <c r="EB124" s="44"/>
      <c r="EC124" s="44"/>
      <c r="ED124" s="44"/>
      <c r="EE124" s="44"/>
      <c r="EF124" s="44"/>
      <c r="EG124" s="44"/>
    </row>
    <row r="125" spans="1:137" ht="15" customHeight="1">
      <c r="A125" s="14"/>
      <c r="B125" s="57"/>
      <c r="C125" s="167" t="str">
        <f>IF($R$60=1,"",$AW$73)</f>
        <v/>
      </c>
      <c r="D125" s="161" t="str">
        <f>IF($R$60=1,"",$AX$73)</f>
        <v/>
      </c>
      <c r="E125" s="161"/>
      <c r="F125" s="161"/>
      <c r="G125" s="162"/>
      <c r="H125" s="57"/>
      <c r="I125" s="182" t="str">
        <f>IF($R$60=1,"",$AY$73)</f>
        <v/>
      </c>
      <c r="J125" s="161"/>
      <c r="K125" s="161" t="str">
        <f>IF($R$60=1,"",$AZ$73)</f>
        <v/>
      </c>
      <c r="L125" s="162"/>
      <c r="M125" s="57"/>
      <c r="N125" s="57"/>
      <c r="O125" s="173"/>
      <c r="P125" s="174"/>
      <c r="Q125" s="174"/>
      <c r="R125" s="175"/>
      <c r="S125" s="138" t="str">
        <f>IF(O125="","",LEN(O125)&amp;" tegn")</f>
        <v/>
      </c>
      <c r="AC125" s="3" t="b">
        <f>AND($U$68=TRUE,$T$152=1)</f>
        <v>0</v>
      </c>
      <c r="AD125" s="3" t="b">
        <f>AND($U$64=TRUE,$T$152=1)</f>
        <v>0</v>
      </c>
      <c r="AE125" s="3" t="b">
        <f>AND($U$65=TRUE,$T$152=1)</f>
        <v>0</v>
      </c>
      <c r="AF125" s="3" t="b">
        <f>OR(AC125,AD125,AE125)</f>
        <v>0</v>
      </c>
      <c r="BU125" s="44"/>
      <c r="BV125" s="44"/>
      <c r="BW125" s="44"/>
      <c r="BX125" s="44"/>
      <c r="BY125" s="44"/>
      <c r="BZ125" s="44"/>
      <c r="CA125" s="44"/>
      <c r="CB125" s="44"/>
      <c r="CC125" s="44"/>
      <c r="CD125" s="44"/>
      <c r="CE125" s="44"/>
      <c r="CF125" s="44"/>
      <c r="CG125" s="44"/>
      <c r="CH125" s="44"/>
      <c r="CI125" s="44"/>
      <c r="CJ125" s="44"/>
      <c r="CK125" s="44"/>
      <c r="CL125" s="44"/>
      <c r="CM125" s="44"/>
      <c r="CN125" s="44"/>
      <c r="CO125" s="44"/>
      <c r="CP125" s="44"/>
      <c r="CQ125" s="44"/>
      <c r="CR125" s="44"/>
      <c r="CS125" s="44"/>
      <c r="CT125" s="44"/>
      <c r="CU125" s="44"/>
      <c r="CV125" s="44"/>
      <c r="CW125" s="44"/>
      <c r="CX125" s="44"/>
      <c r="CY125" s="44"/>
      <c r="CZ125" s="44"/>
      <c r="DA125" s="44"/>
      <c r="DB125" s="44"/>
      <c r="DC125" s="44"/>
      <c r="DD125" s="44"/>
      <c r="DE125" s="44"/>
      <c r="DF125" s="44"/>
      <c r="DG125" s="44"/>
      <c r="DH125" s="44"/>
      <c r="DI125" s="44"/>
      <c r="DJ125" s="44"/>
      <c r="DK125" s="44"/>
      <c r="DL125" s="44"/>
      <c r="DM125" s="44"/>
      <c r="DN125" s="44"/>
      <c r="DO125" s="44"/>
      <c r="DP125" s="44"/>
      <c r="DQ125" s="44"/>
      <c r="DR125" s="44"/>
      <c r="DS125" s="44"/>
      <c r="DT125" s="44"/>
      <c r="DU125" s="44"/>
      <c r="DV125" s="44"/>
      <c r="DW125" s="44"/>
      <c r="DX125" s="44"/>
      <c r="DY125" s="44"/>
      <c r="DZ125" s="44"/>
      <c r="EA125" s="44"/>
      <c r="EB125" s="44"/>
      <c r="EC125" s="44"/>
      <c r="ED125" s="44"/>
      <c r="EE125" s="44"/>
      <c r="EF125" s="44"/>
      <c r="EG125" s="44"/>
    </row>
    <row r="126" spans="1:137" ht="15.75">
      <c r="A126" s="14"/>
      <c r="B126" s="57"/>
      <c r="C126" s="168"/>
      <c r="D126" s="163"/>
      <c r="E126" s="163"/>
      <c r="F126" s="163"/>
      <c r="G126" s="164"/>
      <c r="H126" s="57"/>
      <c r="I126" s="183"/>
      <c r="J126" s="163"/>
      <c r="K126" s="163"/>
      <c r="L126" s="164"/>
      <c r="M126" s="57"/>
      <c r="N126" s="57"/>
      <c r="O126" s="176"/>
      <c r="P126" s="177"/>
      <c r="Q126" s="177"/>
      <c r="R126" s="178"/>
      <c r="S126" s="133"/>
      <c r="T126" s="3">
        <v>2</v>
      </c>
      <c r="U126" s="3" t="str">
        <f>IF(D125="","",IF(T126=1,TRUE,IF(T126=2,FALSE,"IR")))</f>
        <v/>
      </c>
      <c r="V126" s="3">
        <f>IF(U126=TRUE,1,IF(U126=FALSE,1,0))</f>
        <v>0</v>
      </c>
      <c r="W126" s="3" t="str">
        <f>IF(U126="","",IF(U126=TRUE,"Ja",IF(U126=FALSE,"Nei","Ikke relevant")))</f>
        <v/>
      </c>
      <c r="AC126" s="3" t="b">
        <f>AND($T$68=TRUE,$T$152=1)</f>
        <v>0</v>
      </c>
      <c r="AD126" s="3" t="b">
        <f>AND($T$64=TRUE,$T$152=1)</f>
        <v>0</v>
      </c>
      <c r="AE126" s="3" t="b">
        <f>AND($T$65=TRUE,$T$152=1)</f>
        <v>0</v>
      </c>
      <c r="AF126" s="3" t="b">
        <f>OR(AC126,AD126,AE126)</f>
        <v>0</v>
      </c>
      <c r="BU126" s="44"/>
      <c r="BV126" s="44"/>
      <c r="BW126" s="44"/>
      <c r="BX126" s="44"/>
      <c r="BY126" s="44"/>
      <c r="BZ126" s="44"/>
      <c r="CA126" s="44"/>
      <c r="CB126" s="44"/>
      <c r="CC126" s="44"/>
      <c r="CD126" s="44"/>
      <c r="CE126" s="44"/>
      <c r="CF126" s="44"/>
      <c r="CG126" s="44"/>
      <c r="CH126" s="44"/>
      <c r="CI126" s="44"/>
      <c r="CJ126" s="44"/>
      <c r="CK126" s="44"/>
      <c r="CL126" s="44"/>
      <c r="CM126" s="44"/>
      <c r="CN126" s="44"/>
      <c r="CO126" s="44"/>
      <c r="CP126" s="44"/>
      <c r="CQ126" s="44"/>
      <c r="CR126" s="44"/>
      <c r="CS126" s="44"/>
      <c r="CT126" s="44"/>
      <c r="CU126" s="44"/>
      <c r="CV126" s="44"/>
      <c r="CW126" s="44"/>
      <c r="CX126" s="44"/>
      <c r="CY126" s="44"/>
      <c r="CZ126" s="44"/>
      <c r="DA126" s="44"/>
      <c r="DB126" s="44"/>
      <c r="DC126" s="44"/>
      <c r="DD126" s="44"/>
      <c r="DE126" s="44"/>
      <c r="DF126" s="44"/>
      <c r="DG126" s="44"/>
      <c r="DH126" s="44"/>
      <c r="DI126" s="44"/>
      <c r="DJ126" s="44"/>
      <c r="DK126" s="44"/>
      <c r="DL126" s="44"/>
      <c r="DM126" s="44"/>
      <c r="DN126" s="44"/>
      <c r="DO126" s="44"/>
      <c r="DP126" s="44"/>
      <c r="DQ126" s="44"/>
      <c r="DR126" s="44"/>
      <c r="DS126" s="44"/>
      <c r="DT126" s="44"/>
      <c r="DU126" s="44"/>
      <c r="DV126" s="44"/>
      <c r="DW126" s="44"/>
      <c r="DX126" s="44"/>
      <c r="DY126" s="44"/>
      <c r="DZ126" s="44"/>
      <c r="EA126" s="44"/>
      <c r="EB126" s="44"/>
      <c r="EC126" s="44"/>
      <c r="ED126" s="44"/>
      <c r="EE126" s="44"/>
      <c r="EF126" s="44"/>
      <c r="EG126" s="44"/>
    </row>
    <row r="127" spans="1:137" ht="15.75">
      <c r="A127" s="14"/>
      <c r="B127" s="57"/>
      <c r="C127" s="168"/>
      <c r="D127" s="163"/>
      <c r="E127" s="163"/>
      <c r="F127" s="163"/>
      <c r="G127" s="164"/>
      <c r="H127" s="57"/>
      <c r="I127" s="183"/>
      <c r="J127" s="163"/>
      <c r="K127" s="163"/>
      <c r="L127" s="164"/>
      <c r="M127" s="241" t="str">
        <f>IF(D125="","","JA")</f>
        <v/>
      </c>
      <c r="N127" s="221" t="str">
        <f>IF(D125="","","NEI")</f>
        <v/>
      </c>
      <c r="O127" s="176"/>
      <c r="P127" s="177"/>
      <c r="Q127" s="177"/>
      <c r="R127" s="178"/>
      <c r="S127" s="133"/>
      <c r="BU127" s="44"/>
      <c r="BV127" s="44"/>
      <c r="BW127" s="44"/>
      <c r="BX127" s="44"/>
      <c r="BY127" s="44"/>
      <c r="BZ127" s="44"/>
      <c r="CA127" s="44"/>
      <c r="CB127" s="44"/>
      <c r="CC127" s="44"/>
      <c r="CD127" s="44"/>
      <c r="CE127" s="44"/>
      <c r="CF127" s="44"/>
      <c r="CG127" s="44"/>
      <c r="CH127" s="44"/>
      <c r="CI127" s="44"/>
      <c r="CJ127" s="44"/>
      <c r="CK127" s="44"/>
      <c r="CL127" s="44"/>
      <c r="CM127" s="44"/>
      <c r="CN127" s="44"/>
      <c r="CO127" s="44"/>
      <c r="CP127" s="44"/>
      <c r="CQ127" s="44"/>
      <c r="CR127" s="44"/>
      <c r="CS127" s="44"/>
      <c r="CT127" s="44"/>
      <c r="CU127" s="44"/>
      <c r="CV127" s="44"/>
      <c r="CW127" s="44"/>
      <c r="CX127" s="44"/>
      <c r="CY127" s="44"/>
      <c r="CZ127" s="44"/>
      <c r="DA127" s="44"/>
      <c r="DB127" s="44"/>
      <c r="DC127" s="44"/>
      <c r="DD127" s="44"/>
      <c r="DE127" s="44"/>
      <c r="DF127" s="44"/>
      <c r="DG127" s="44"/>
      <c r="DH127" s="44"/>
      <c r="DI127" s="44"/>
      <c r="DJ127" s="44"/>
      <c r="DK127" s="44"/>
      <c r="DL127" s="44"/>
      <c r="DM127" s="44"/>
      <c r="DN127" s="44"/>
      <c r="DO127" s="44"/>
      <c r="DP127" s="44"/>
      <c r="DQ127" s="44"/>
      <c r="DR127" s="44"/>
      <c r="DS127" s="44"/>
      <c r="DT127" s="44"/>
      <c r="DU127" s="44"/>
      <c r="DV127" s="44"/>
      <c r="DW127" s="44"/>
      <c r="DX127" s="44"/>
      <c r="DY127" s="44"/>
      <c r="DZ127" s="44"/>
      <c r="EA127" s="44"/>
      <c r="EB127" s="44"/>
      <c r="EC127" s="44"/>
      <c r="ED127" s="44"/>
      <c r="EE127" s="44"/>
      <c r="EF127" s="44"/>
      <c r="EG127" s="44"/>
    </row>
    <row r="128" spans="1:137" ht="15.75">
      <c r="A128" s="14"/>
      <c r="B128" s="57"/>
      <c r="C128" s="168"/>
      <c r="D128" s="163"/>
      <c r="E128" s="163"/>
      <c r="F128" s="163"/>
      <c r="G128" s="164"/>
      <c r="H128" s="57"/>
      <c r="I128" s="183"/>
      <c r="J128" s="163"/>
      <c r="K128" s="163"/>
      <c r="L128" s="164"/>
      <c r="M128" s="241"/>
      <c r="N128" s="221"/>
      <c r="O128" s="176"/>
      <c r="P128" s="177"/>
      <c r="Q128" s="177"/>
      <c r="R128" s="178"/>
      <c r="S128" s="133"/>
      <c r="BU128" s="44"/>
      <c r="BV128" s="44"/>
      <c r="BW128" s="44"/>
      <c r="BX128" s="44"/>
      <c r="BY128" s="44"/>
      <c r="BZ128" s="44"/>
      <c r="CA128" s="44"/>
      <c r="CB128" s="44"/>
      <c r="CC128" s="44"/>
      <c r="CD128" s="44"/>
      <c r="CE128" s="44"/>
      <c r="CF128" s="44"/>
      <c r="CG128" s="44"/>
      <c r="CH128" s="44"/>
      <c r="CI128" s="44"/>
      <c r="CJ128" s="44"/>
      <c r="CK128" s="44"/>
      <c r="CL128" s="44"/>
      <c r="CM128" s="44"/>
      <c r="CN128" s="44"/>
      <c r="CO128" s="44"/>
      <c r="CP128" s="44"/>
      <c r="CQ128" s="44"/>
      <c r="CR128" s="44"/>
      <c r="CS128" s="44"/>
      <c r="CT128" s="44"/>
      <c r="CU128" s="44"/>
      <c r="CV128" s="44"/>
      <c r="CW128" s="44"/>
      <c r="CX128" s="44"/>
      <c r="CY128" s="44"/>
      <c r="CZ128" s="44"/>
      <c r="DA128" s="44"/>
      <c r="DB128" s="44"/>
      <c r="DC128" s="44"/>
      <c r="DD128" s="44"/>
      <c r="DE128" s="44"/>
      <c r="DF128" s="44"/>
      <c r="DG128" s="44"/>
      <c r="DH128" s="44"/>
      <c r="DI128" s="44"/>
      <c r="DJ128" s="44"/>
      <c r="DK128" s="44"/>
      <c r="DL128" s="44"/>
      <c r="DM128" s="44"/>
      <c r="DN128" s="44"/>
      <c r="DO128" s="44"/>
      <c r="DP128" s="44"/>
      <c r="DQ128" s="44"/>
      <c r="DR128" s="44"/>
      <c r="DS128" s="44"/>
      <c r="DT128" s="44"/>
      <c r="DU128" s="44"/>
      <c r="DV128" s="44"/>
      <c r="DW128" s="44"/>
      <c r="DX128" s="44"/>
      <c r="DY128" s="44"/>
      <c r="DZ128" s="44"/>
      <c r="EA128" s="44"/>
      <c r="EB128" s="44"/>
      <c r="EC128" s="44"/>
      <c r="ED128" s="44"/>
      <c r="EE128" s="44"/>
      <c r="EF128" s="44"/>
      <c r="EG128" s="44"/>
    </row>
    <row r="129" spans="1:137" ht="15.75">
      <c r="A129" s="14"/>
      <c r="B129" s="57"/>
      <c r="C129" s="168"/>
      <c r="D129" s="163"/>
      <c r="E129" s="163"/>
      <c r="F129" s="163"/>
      <c r="G129" s="164"/>
      <c r="H129" s="57"/>
      <c r="I129" s="183"/>
      <c r="J129" s="163"/>
      <c r="K129" s="163"/>
      <c r="L129" s="164"/>
      <c r="M129" s="57"/>
      <c r="N129" s="57"/>
      <c r="O129" s="176"/>
      <c r="P129" s="177"/>
      <c r="Q129" s="177"/>
      <c r="R129" s="178"/>
      <c r="S129" s="133"/>
      <c r="AF129" s="3" t="b">
        <f>OR(AF125,AF126)</f>
        <v>0</v>
      </c>
      <c r="BU129" s="44"/>
      <c r="BV129" s="44"/>
      <c r="BW129" s="44"/>
      <c r="BX129" s="44"/>
      <c r="BY129" s="44"/>
      <c r="BZ129" s="44"/>
      <c r="CA129" s="44"/>
      <c r="CB129" s="44"/>
      <c r="CC129" s="44"/>
      <c r="CD129" s="44"/>
      <c r="CE129" s="44"/>
      <c r="CF129" s="44"/>
      <c r="CG129" s="44"/>
      <c r="CH129" s="44"/>
      <c r="CI129" s="44"/>
      <c r="CJ129" s="44"/>
      <c r="CK129" s="44"/>
      <c r="CL129" s="44"/>
      <c r="CM129" s="44"/>
      <c r="CN129" s="44"/>
      <c r="CO129" s="44"/>
      <c r="CP129" s="44"/>
      <c r="CQ129" s="44"/>
      <c r="CR129" s="44"/>
      <c r="CS129" s="44"/>
      <c r="CT129" s="44"/>
      <c r="CU129" s="44"/>
      <c r="CV129" s="44"/>
      <c r="CW129" s="44"/>
      <c r="CX129" s="44"/>
      <c r="CY129" s="44"/>
      <c r="CZ129" s="44"/>
      <c r="DA129" s="44"/>
      <c r="DB129" s="44"/>
      <c r="DC129" s="44"/>
      <c r="DD129" s="44"/>
      <c r="DE129" s="44"/>
      <c r="DF129" s="44"/>
      <c r="DG129" s="44"/>
      <c r="DH129" s="44"/>
      <c r="DI129" s="44"/>
      <c r="DJ129" s="44"/>
      <c r="DK129" s="44"/>
      <c r="DL129" s="44"/>
      <c r="DM129" s="44"/>
      <c r="DN129" s="44"/>
      <c r="DO129" s="44"/>
      <c r="DP129" s="44"/>
      <c r="DQ129" s="44"/>
      <c r="DR129" s="44"/>
      <c r="DS129" s="44"/>
      <c r="DT129" s="44"/>
      <c r="DU129" s="44"/>
      <c r="DV129" s="44"/>
      <c r="DW129" s="44"/>
      <c r="DX129" s="44"/>
      <c r="DY129" s="44"/>
      <c r="DZ129" s="44"/>
      <c r="EA129" s="44"/>
      <c r="EB129" s="44"/>
      <c r="EC129" s="44"/>
      <c r="ED129" s="44"/>
      <c r="EE129" s="44"/>
      <c r="EF129" s="44"/>
      <c r="EG129" s="44"/>
    </row>
    <row r="130" spans="1:137" ht="15.75">
      <c r="A130" s="14"/>
      <c r="B130" s="57"/>
      <c r="C130" s="169"/>
      <c r="D130" s="165"/>
      <c r="E130" s="165"/>
      <c r="F130" s="165"/>
      <c r="G130" s="166"/>
      <c r="H130" s="57"/>
      <c r="I130" s="184"/>
      <c r="J130" s="165"/>
      <c r="K130" s="165"/>
      <c r="L130" s="166"/>
      <c r="M130" s="57"/>
      <c r="N130" s="57"/>
      <c r="O130" s="179"/>
      <c r="P130" s="180"/>
      <c r="Q130" s="180"/>
      <c r="R130" s="181"/>
      <c r="S130" s="133"/>
      <c r="BU130" s="44"/>
      <c r="BV130" s="44"/>
      <c r="BW130" s="44"/>
      <c r="BX130" s="44"/>
      <c r="BY130" s="44"/>
      <c r="BZ130" s="44"/>
      <c r="CA130" s="44"/>
      <c r="CB130" s="44"/>
      <c r="CC130" s="44"/>
      <c r="CD130" s="44"/>
      <c r="CE130" s="44"/>
      <c r="CF130" s="44"/>
      <c r="CG130" s="44"/>
      <c r="CH130" s="44"/>
      <c r="CI130" s="44"/>
      <c r="CJ130" s="44"/>
      <c r="CK130" s="44"/>
      <c r="CL130" s="44"/>
      <c r="CM130" s="44"/>
      <c r="CN130" s="44"/>
      <c r="CO130" s="44"/>
      <c r="CP130" s="44"/>
      <c r="CQ130" s="44"/>
      <c r="CR130" s="44"/>
      <c r="CS130" s="44"/>
      <c r="CT130" s="44"/>
      <c r="CU130" s="44"/>
      <c r="CV130" s="44"/>
      <c r="CW130" s="44"/>
      <c r="CX130" s="44"/>
      <c r="CY130" s="44"/>
      <c r="CZ130" s="44"/>
      <c r="DA130" s="44"/>
      <c r="DB130" s="44"/>
      <c r="DC130" s="44"/>
      <c r="DD130" s="44"/>
      <c r="DE130" s="44"/>
      <c r="DF130" s="44"/>
      <c r="DG130" s="44"/>
      <c r="DH130" s="44"/>
      <c r="DI130" s="44"/>
      <c r="DJ130" s="44"/>
      <c r="DK130" s="44"/>
      <c r="DL130" s="44"/>
      <c r="DM130" s="44"/>
      <c r="DN130" s="44"/>
      <c r="DO130" s="44"/>
      <c r="DP130" s="44"/>
      <c r="DQ130" s="44"/>
      <c r="DR130" s="44"/>
      <c r="DS130" s="44"/>
      <c r="DT130" s="44"/>
      <c r="DU130" s="44"/>
      <c r="DV130" s="44"/>
      <c r="DW130" s="44"/>
      <c r="DX130" s="44"/>
      <c r="DY130" s="44"/>
      <c r="DZ130" s="44"/>
      <c r="EA130" s="44"/>
      <c r="EB130" s="44"/>
      <c r="EC130" s="44"/>
      <c r="ED130" s="44"/>
      <c r="EE130" s="44"/>
      <c r="EF130" s="44"/>
      <c r="EG130" s="44"/>
    </row>
    <row r="131" spans="1:137" ht="15.75">
      <c r="A131" s="14"/>
      <c r="B131" s="57"/>
      <c r="C131" s="57"/>
      <c r="D131" s="57"/>
      <c r="E131" s="57"/>
      <c r="F131" s="57"/>
      <c r="G131" s="57"/>
      <c r="H131" s="57"/>
      <c r="I131" s="57"/>
      <c r="J131" s="57"/>
      <c r="K131" s="57"/>
      <c r="L131" s="57"/>
      <c r="M131" s="57"/>
      <c r="N131" s="57"/>
      <c r="O131" s="57"/>
      <c r="P131" s="57"/>
      <c r="Q131" s="57"/>
      <c r="R131" s="57"/>
      <c r="S131" s="132" t="str">
        <f>IF(OR(R62=TRUE,T62=TRUE,U62=TRUE,V68=TRUE,S69=TRUE),"Til utskrift","")</f>
        <v/>
      </c>
      <c r="AC131" s="3" t="b">
        <f>AND($U$68=TRUE,$T$152=0)</f>
        <v>0</v>
      </c>
      <c r="AD131" s="3" t="b">
        <f>AND($U$64=TRUE,$T$152=0)</f>
        <v>0</v>
      </c>
      <c r="AE131" s="3" t="b">
        <f>AND($U$65=TRUE,$T$152=0)</f>
        <v>0</v>
      </c>
      <c r="AF131" s="3" t="b">
        <f>OR(AC131,AD131,AE131)</f>
        <v>0</v>
      </c>
      <c r="BU131" s="87"/>
      <c r="BV131" s="44"/>
      <c r="BW131" s="44"/>
      <c r="BX131" s="44"/>
      <c r="BY131" s="44"/>
      <c r="BZ131" s="44"/>
      <c r="CA131" s="44"/>
      <c r="CB131" s="44"/>
      <c r="CC131" s="44"/>
      <c r="CD131" s="44"/>
      <c r="CE131" s="44"/>
      <c r="CF131" s="44"/>
      <c r="CG131" s="44"/>
      <c r="CH131" s="44"/>
      <c r="CI131" s="44"/>
      <c r="CJ131" s="44"/>
      <c r="CK131" s="44"/>
      <c r="CL131" s="44"/>
      <c r="CM131" s="44"/>
      <c r="CN131" s="44"/>
      <c r="CO131" s="44"/>
      <c r="CP131" s="44"/>
      <c r="CQ131" s="44"/>
      <c r="CR131" s="44"/>
      <c r="CS131" s="44"/>
      <c r="CT131" s="44"/>
      <c r="CU131" s="44"/>
      <c r="CV131" s="44"/>
      <c r="CW131" s="44"/>
      <c r="CX131" s="44"/>
      <c r="CY131" s="44"/>
      <c r="CZ131" s="44"/>
      <c r="DA131" s="44"/>
      <c r="DB131" s="44"/>
      <c r="DC131" s="44"/>
      <c r="DD131" s="44"/>
      <c r="DE131" s="44"/>
      <c r="DF131" s="44"/>
      <c r="DG131" s="44"/>
      <c r="DH131" s="44"/>
      <c r="DI131" s="44"/>
      <c r="DJ131" s="44"/>
      <c r="DK131" s="44"/>
      <c r="DL131" s="44"/>
      <c r="DM131" s="44"/>
      <c r="DN131" s="44"/>
      <c r="DO131" s="44"/>
      <c r="DP131" s="44"/>
      <c r="DQ131" s="44"/>
      <c r="DR131" s="44"/>
      <c r="DS131" s="44"/>
      <c r="DT131" s="44"/>
      <c r="DU131" s="44"/>
      <c r="DV131" s="44"/>
      <c r="DW131" s="44"/>
      <c r="DX131" s="44"/>
      <c r="DY131" s="44"/>
      <c r="DZ131" s="44"/>
      <c r="EA131" s="44"/>
      <c r="EB131" s="44"/>
      <c r="EC131" s="44"/>
      <c r="ED131" s="44"/>
      <c r="EE131" s="44"/>
      <c r="EF131" s="44"/>
      <c r="EG131" s="44"/>
    </row>
    <row r="132" spans="1:137" ht="15" customHeight="1">
      <c r="A132" s="14"/>
      <c r="B132" s="57"/>
      <c r="C132" s="167" t="str">
        <f>IF($R$60=1,"",$BA$73)</f>
        <v/>
      </c>
      <c r="D132" s="161" t="str">
        <f>IF($R$60=1,"",$BB$73)</f>
        <v/>
      </c>
      <c r="E132" s="161"/>
      <c r="F132" s="161"/>
      <c r="G132" s="162"/>
      <c r="H132" s="57"/>
      <c r="I132" s="182" t="str">
        <f>IF($R$60=1,"",$BC$73)</f>
        <v/>
      </c>
      <c r="J132" s="161"/>
      <c r="K132" s="161" t="str">
        <f>IF($R$60=1,"",$BD$73)</f>
        <v/>
      </c>
      <c r="L132" s="162"/>
      <c r="M132" s="57"/>
      <c r="N132" s="57"/>
      <c r="O132" s="173"/>
      <c r="P132" s="174"/>
      <c r="Q132" s="174"/>
      <c r="R132" s="175"/>
      <c r="S132" s="138" t="str">
        <f>IF(O132="","",LEN(O132)&amp;" tegn")</f>
        <v/>
      </c>
      <c r="AC132" s="3" t="b">
        <f>AND($T$68=TRUE,$T$152=0)</f>
        <v>0</v>
      </c>
      <c r="AD132" s="3" t="b">
        <f>AND($T$64=TRUE,$T$152=0)</f>
        <v>0</v>
      </c>
      <c r="AE132" s="3" t="b">
        <f>AND($T$65=TRUE,$T$152=0)</f>
        <v>0</v>
      </c>
      <c r="AF132" s="3" t="b">
        <f>OR(AC132,AD132,AE132)</f>
        <v>0</v>
      </c>
      <c r="BU132" s="44"/>
      <c r="BV132" s="44"/>
      <c r="BW132" s="44"/>
      <c r="BX132" s="44"/>
      <c r="BY132" s="44"/>
      <c r="BZ132" s="44"/>
      <c r="CA132" s="44"/>
      <c r="CB132" s="44"/>
      <c r="CC132" s="44"/>
      <c r="CD132" s="44"/>
      <c r="CE132" s="44"/>
      <c r="CF132" s="44"/>
      <c r="CG132" s="44"/>
      <c r="CH132" s="44"/>
      <c r="CI132" s="44"/>
      <c r="CJ132" s="44"/>
      <c r="CK132" s="44"/>
      <c r="CL132" s="44"/>
      <c r="CM132" s="44"/>
      <c r="CN132" s="44"/>
      <c r="CO132" s="44"/>
      <c r="CP132" s="44"/>
      <c r="CQ132" s="44"/>
      <c r="CR132" s="44"/>
      <c r="CS132" s="44"/>
      <c r="CT132" s="44"/>
      <c r="CU132" s="44"/>
      <c r="CV132" s="44"/>
      <c r="CW132" s="44"/>
      <c r="CX132" s="44"/>
      <c r="CY132" s="44"/>
      <c r="CZ132" s="44"/>
      <c r="DA132" s="44"/>
      <c r="DB132" s="44"/>
      <c r="DC132" s="44"/>
      <c r="DD132" s="44"/>
      <c r="DE132" s="44"/>
      <c r="DF132" s="44"/>
      <c r="DG132" s="44"/>
      <c r="DH132" s="44"/>
      <c r="DI132" s="44"/>
      <c r="DJ132" s="44"/>
      <c r="DK132" s="44"/>
      <c r="DL132" s="44"/>
      <c r="DM132" s="44"/>
      <c r="DN132" s="44"/>
      <c r="DO132" s="44"/>
      <c r="DP132" s="44"/>
      <c r="DQ132" s="44"/>
      <c r="DR132" s="44"/>
      <c r="DS132" s="44"/>
      <c r="DT132" s="44"/>
      <c r="DU132" s="44"/>
      <c r="DV132" s="44"/>
      <c r="DW132" s="44"/>
      <c r="DX132" s="44"/>
      <c r="DY132" s="44"/>
      <c r="DZ132" s="44"/>
      <c r="EA132" s="44"/>
      <c r="EB132" s="44"/>
      <c r="EC132" s="44"/>
      <c r="ED132" s="44"/>
      <c r="EE132" s="44"/>
      <c r="EF132" s="44"/>
      <c r="EG132" s="44"/>
    </row>
    <row r="133" spans="1:137" ht="15.75">
      <c r="A133" s="14"/>
      <c r="B133" s="57"/>
      <c r="C133" s="168"/>
      <c r="D133" s="163"/>
      <c r="E133" s="163"/>
      <c r="F133" s="163"/>
      <c r="G133" s="164"/>
      <c r="H133" s="57"/>
      <c r="I133" s="183"/>
      <c r="J133" s="163"/>
      <c r="K133" s="163"/>
      <c r="L133" s="164"/>
      <c r="M133" s="57"/>
      <c r="N133" s="57"/>
      <c r="O133" s="176"/>
      <c r="P133" s="177"/>
      <c r="Q133" s="177"/>
      <c r="R133" s="178"/>
      <c r="S133" s="133"/>
      <c r="T133" s="3">
        <v>2</v>
      </c>
      <c r="U133" s="3" t="str">
        <f>IF(D132="","",IF(T133=1,TRUE,IF(T133=2,FALSE,"IR")))</f>
        <v/>
      </c>
      <c r="V133" s="3">
        <f>IF(U133=TRUE,1,IF(U133=FALSE,1,0))</f>
        <v>0</v>
      </c>
      <c r="W133" s="3" t="str">
        <f>IF(U133="","",IF(U133=TRUE,"Ja",IF(U133=FALSE,"Nei","Ikke relevant")))</f>
        <v/>
      </c>
      <c r="Y133" s="3" t="s">
        <v>123</v>
      </c>
      <c r="AC133" s="3" t="s">
        <v>45</v>
      </c>
      <c r="AF133" s="3" t="b">
        <f>OR(AF131,AF132)</f>
        <v>0</v>
      </c>
      <c r="BU133" s="44"/>
      <c r="BV133" s="44"/>
      <c r="BW133" s="44"/>
      <c r="BX133" s="44"/>
      <c r="BY133" s="44"/>
      <c r="BZ133" s="44"/>
      <c r="CA133" s="44"/>
      <c r="CB133" s="44"/>
      <c r="CC133" s="44"/>
      <c r="CD133" s="44"/>
      <c r="CE133" s="44"/>
      <c r="CF133" s="44"/>
      <c r="CG133" s="44"/>
      <c r="CH133" s="44"/>
      <c r="CI133" s="44"/>
      <c r="CJ133" s="44"/>
      <c r="CK133" s="44"/>
      <c r="CL133" s="44"/>
      <c r="CM133" s="44"/>
      <c r="CN133" s="44"/>
      <c r="CO133" s="44"/>
      <c r="CP133" s="44"/>
      <c r="CQ133" s="44"/>
      <c r="CR133" s="44"/>
      <c r="CS133" s="44"/>
      <c r="CT133" s="44"/>
      <c r="CU133" s="44"/>
      <c r="CV133" s="44"/>
      <c r="CW133" s="44"/>
      <c r="CX133" s="44"/>
      <c r="CY133" s="44"/>
      <c r="CZ133" s="44"/>
      <c r="DA133" s="44"/>
      <c r="DB133" s="44"/>
      <c r="DC133" s="44"/>
      <c r="DD133" s="44"/>
      <c r="DE133" s="44"/>
      <c r="DF133" s="44"/>
      <c r="DG133" s="44"/>
      <c r="DH133" s="44"/>
      <c r="DI133" s="44"/>
      <c r="DJ133" s="44"/>
      <c r="DK133" s="44"/>
      <c r="DL133" s="44"/>
      <c r="DM133" s="44"/>
      <c r="DN133" s="44"/>
      <c r="DO133" s="44"/>
      <c r="DP133" s="44"/>
      <c r="DQ133" s="44"/>
      <c r="DR133" s="44"/>
      <c r="DS133" s="44"/>
      <c r="DT133" s="44"/>
      <c r="DU133" s="44"/>
      <c r="DV133" s="44"/>
      <c r="DW133" s="44"/>
      <c r="DX133" s="44"/>
      <c r="DY133" s="44"/>
      <c r="DZ133" s="44"/>
      <c r="EA133" s="44"/>
      <c r="EB133" s="44"/>
      <c r="EC133" s="44"/>
      <c r="ED133" s="44"/>
      <c r="EE133" s="44"/>
      <c r="EF133" s="44"/>
      <c r="EG133" s="44"/>
    </row>
    <row r="134" spans="1:137" ht="15.75">
      <c r="A134" s="14"/>
      <c r="B134" s="57"/>
      <c r="C134" s="168"/>
      <c r="D134" s="163"/>
      <c r="E134" s="163"/>
      <c r="F134" s="163"/>
      <c r="G134" s="164"/>
      <c r="H134" s="57"/>
      <c r="I134" s="183"/>
      <c r="J134" s="163"/>
      <c r="K134" s="163"/>
      <c r="L134" s="164"/>
      <c r="M134" s="241" t="str">
        <f>IF(D132="","","JA")</f>
        <v/>
      </c>
      <c r="N134" s="221" t="str">
        <f>IF(D132="","","NEI")</f>
        <v/>
      </c>
      <c r="O134" s="176"/>
      <c r="P134" s="177"/>
      <c r="Q134" s="177"/>
      <c r="R134" s="178"/>
      <c r="S134" s="133"/>
      <c r="X134" s="3">
        <f>V151</f>
        <v>0</v>
      </c>
      <c r="Y134" s="3" t="str">
        <f>IF($W$59=TRUE,"Begge ytelsene oppfyller dokumentasjonskravene.","Alle ytelsene oppfyller dokumentasjonskravene.")</f>
        <v>Alle ytelsene oppfyller dokumentasjonskravene.</v>
      </c>
      <c r="AB134" s="3">
        <f>V151</f>
        <v>0</v>
      </c>
      <c r="AC134" s="3" t="str">
        <f>IF(AF129=TRUE,"Dokumentasjonskravet til BREEAM-NOR er oppfylt.","Alle stoffer på listen oppfyller dokumentasjonskravene til BREEAM-NOR.")</f>
        <v>Alle stoffer på listen oppfyller dokumentasjonskravene til BREEAM-NOR.</v>
      </c>
      <c r="BU134" s="44"/>
      <c r="BV134" s="44"/>
      <c r="BW134" s="44"/>
      <c r="BX134" s="44"/>
      <c r="BY134" s="44"/>
      <c r="BZ134" s="44"/>
      <c r="CA134" s="44"/>
      <c r="CB134" s="44"/>
      <c r="CC134" s="44"/>
      <c r="CD134" s="44"/>
      <c r="CE134" s="44"/>
      <c r="CF134" s="44"/>
      <c r="CG134" s="44"/>
      <c r="CH134" s="44"/>
      <c r="CI134" s="44"/>
      <c r="CJ134" s="44"/>
      <c r="CK134" s="44"/>
      <c r="CL134" s="44"/>
      <c r="CM134" s="44"/>
      <c r="CN134" s="44"/>
      <c r="CO134" s="44"/>
      <c r="CP134" s="44"/>
      <c r="CQ134" s="44"/>
      <c r="CR134" s="44"/>
      <c r="CS134" s="44"/>
      <c r="CT134" s="44"/>
      <c r="CU134" s="44"/>
      <c r="CV134" s="44"/>
      <c r="CW134" s="44"/>
      <c r="CX134" s="44"/>
      <c r="CY134" s="44"/>
      <c r="CZ134" s="44"/>
      <c r="DA134" s="44"/>
      <c r="DB134" s="44"/>
      <c r="DC134" s="44"/>
      <c r="DD134" s="44"/>
      <c r="DE134" s="44"/>
      <c r="DF134" s="44"/>
      <c r="DG134" s="44"/>
      <c r="DH134" s="44"/>
      <c r="DI134" s="44"/>
      <c r="DJ134" s="44"/>
      <c r="DK134" s="44"/>
      <c r="DL134" s="44"/>
      <c r="DM134" s="44"/>
      <c r="DN134" s="44"/>
      <c r="DO134" s="44"/>
      <c r="DP134" s="44"/>
      <c r="DQ134" s="44"/>
      <c r="DR134" s="44"/>
      <c r="DS134" s="44"/>
      <c r="DT134" s="44"/>
      <c r="DU134" s="44"/>
      <c r="DV134" s="44"/>
      <c r="DW134" s="44"/>
      <c r="DX134" s="44"/>
      <c r="DY134" s="44"/>
      <c r="DZ134" s="44"/>
      <c r="EA134" s="44"/>
      <c r="EB134" s="44"/>
      <c r="EC134" s="44"/>
      <c r="ED134" s="44"/>
      <c r="EE134" s="44"/>
      <c r="EF134" s="44"/>
      <c r="EG134" s="44"/>
    </row>
    <row r="135" spans="1:137" ht="15.75">
      <c r="A135" s="14"/>
      <c r="B135" s="57"/>
      <c r="C135" s="168"/>
      <c r="D135" s="163"/>
      <c r="E135" s="163"/>
      <c r="F135" s="163"/>
      <c r="G135" s="164"/>
      <c r="H135" s="57"/>
      <c r="I135" s="183"/>
      <c r="J135" s="163"/>
      <c r="K135" s="163"/>
      <c r="L135" s="164"/>
      <c r="M135" s="241"/>
      <c r="N135" s="221"/>
      <c r="O135" s="176"/>
      <c r="P135" s="177"/>
      <c r="Q135" s="177"/>
      <c r="R135" s="178"/>
      <c r="S135" s="133"/>
      <c r="BU135" s="44"/>
      <c r="BV135" s="44"/>
      <c r="BW135" s="44"/>
      <c r="BX135" s="44"/>
      <c r="BY135" s="44"/>
      <c r="BZ135" s="44"/>
      <c r="CA135" s="44"/>
      <c r="CB135" s="44"/>
      <c r="CC135" s="44"/>
      <c r="CD135" s="44"/>
      <c r="CE135" s="44"/>
      <c r="CF135" s="44"/>
      <c r="CG135" s="44"/>
      <c r="CH135" s="44"/>
      <c r="CI135" s="44"/>
      <c r="CJ135" s="44"/>
      <c r="CK135" s="44"/>
      <c r="CL135" s="44"/>
      <c r="CM135" s="44"/>
      <c r="CN135" s="44"/>
      <c r="CO135" s="44"/>
      <c r="CP135" s="44"/>
      <c r="CQ135" s="44"/>
      <c r="CR135" s="44"/>
      <c r="CS135" s="44"/>
      <c r="CT135" s="44"/>
      <c r="CU135" s="44"/>
      <c r="CV135" s="44"/>
      <c r="CW135" s="44"/>
      <c r="CX135" s="44"/>
      <c r="CY135" s="44"/>
      <c r="CZ135" s="44"/>
      <c r="DA135" s="44"/>
      <c r="DB135" s="44"/>
      <c r="DC135" s="44"/>
      <c r="DD135" s="44"/>
      <c r="DE135" s="44"/>
      <c r="DF135" s="44"/>
      <c r="DG135" s="44"/>
      <c r="DH135" s="44"/>
      <c r="DI135" s="44"/>
      <c r="DJ135" s="44"/>
      <c r="DK135" s="44"/>
      <c r="DL135" s="44"/>
      <c r="DM135" s="44"/>
      <c r="DN135" s="44"/>
      <c r="DO135" s="44"/>
      <c r="DP135" s="44"/>
      <c r="DQ135" s="44"/>
      <c r="DR135" s="44"/>
      <c r="DS135" s="44"/>
      <c r="DT135" s="44"/>
      <c r="DU135" s="44"/>
      <c r="DV135" s="44"/>
      <c r="DW135" s="44"/>
      <c r="DX135" s="44"/>
      <c r="DY135" s="44"/>
      <c r="DZ135" s="44"/>
      <c r="EA135" s="44"/>
      <c r="EB135" s="44"/>
      <c r="EC135" s="44"/>
      <c r="ED135" s="44"/>
      <c r="EE135" s="44"/>
      <c r="EF135" s="44"/>
      <c r="EG135" s="44"/>
    </row>
    <row r="136" spans="1:137" ht="15.75">
      <c r="A136" s="14"/>
      <c r="B136" s="57"/>
      <c r="C136" s="168"/>
      <c r="D136" s="163"/>
      <c r="E136" s="163"/>
      <c r="F136" s="163"/>
      <c r="G136" s="164"/>
      <c r="H136" s="57"/>
      <c r="I136" s="183"/>
      <c r="J136" s="163"/>
      <c r="K136" s="163"/>
      <c r="L136" s="164"/>
      <c r="M136" s="57"/>
      <c r="N136" s="57"/>
      <c r="O136" s="176"/>
      <c r="P136" s="177"/>
      <c r="Q136" s="177"/>
      <c r="R136" s="178"/>
      <c r="S136" s="133"/>
      <c r="X136" s="3">
        <f>X134-1</f>
        <v>-1</v>
      </c>
      <c r="Y136" s="3" t="s">
        <v>114</v>
      </c>
      <c r="AB136" s="3">
        <f>AB134-1</f>
        <v>-1</v>
      </c>
      <c r="AC136" s="3" t="str">
        <f>IF($AF$133=TRUE,"Stoffet på listen oppfyller ikke dokumentasjonskravet. Produktet tilfredsstiller derfor ikke A20-kravene til BREEAM-NOR.","Det finnes ett stoff på listen som ikke oppfyller dokumentasjonskravet. Produktet/produktene tilfredsstiller derfor ikke A20-kravene til BREEAM-NOR.")</f>
        <v>Det finnes ett stoff på listen som ikke oppfyller dokumentasjonskravet. Produktet/produktene tilfredsstiller derfor ikke A20-kravene til BREEAM-NOR.</v>
      </c>
      <c r="BU136" s="44"/>
      <c r="BV136" s="44"/>
      <c r="BW136" s="44"/>
      <c r="BX136" s="44"/>
      <c r="BY136" s="44"/>
      <c r="BZ136" s="44"/>
      <c r="CA136" s="44"/>
      <c r="CB136" s="44"/>
      <c r="CC136" s="44"/>
      <c r="CD136" s="44"/>
      <c r="CE136" s="44"/>
      <c r="CF136" s="44"/>
      <c r="CG136" s="44"/>
      <c r="CH136" s="44"/>
      <c r="CI136" s="44"/>
      <c r="CJ136" s="44"/>
      <c r="CK136" s="44"/>
      <c r="CL136" s="44"/>
      <c r="CM136" s="44"/>
      <c r="CN136" s="44"/>
      <c r="CO136" s="44"/>
      <c r="CP136" s="44"/>
      <c r="CQ136" s="44"/>
      <c r="CR136" s="44"/>
      <c r="CS136" s="44"/>
      <c r="CT136" s="44"/>
      <c r="CU136" s="44"/>
      <c r="CV136" s="44"/>
      <c r="CW136" s="44"/>
      <c r="CX136" s="44"/>
      <c r="CY136" s="44"/>
      <c r="CZ136" s="44"/>
      <c r="DA136" s="44"/>
      <c r="DB136" s="44"/>
      <c r="DC136" s="44"/>
      <c r="DD136" s="44"/>
      <c r="DE136" s="44"/>
      <c r="DF136" s="44"/>
      <c r="DG136" s="44"/>
      <c r="DH136" s="44"/>
      <c r="DI136" s="44"/>
      <c r="DJ136" s="44"/>
      <c r="DK136" s="44"/>
      <c r="DL136" s="44"/>
      <c r="DM136" s="44"/>
      <c r="DN136" s="44"/>
      <c r="DO136" s="44"/>
      <c r="DP136" s="44"/>
      <c r="DQ136" s="44"/>
      <c r="DR136" s="44"/>
      <c r="DS136" s="44"/>
      <c r="DT136" s="44"/>
      <c r="DU136" s="44"/>
      <c r="DV136" s="44"/>
      <c r="DW136" s="44"/>
      <c r="DX136" s="44"/>
      <c r="DY136" s="44"/>
      <c r="DZ136" s="44"/>
      <c r="EA136" s="44"/>
      <c r="EB136" s="44"/>
      <c r="EC136" s="44"/>
      <c r="ED136" s="44"/>
      <c r="EE136" s="44"/>
      <c r="EF136" s="44"/>
      <c r="EG136" s="44"/>
    </row>
    <row r="137" spans="1:137" ht="15.75">
      <c r="A137" s="14"/>
      <c r="B137" s="57"/>
      <c r="C137" s="169"/>
      <c r="D137" s="165"/>
      <c r="E137" s="165"/>
      <c r="F137" s="165"/>
      <c r="G137" s="166"/>
      <c r="H137" s="57"/>
      <c r="I137" s="184"/>
      <c r="J137" s="165"/>
      <c r="K137" s="165"/>
      <c r="L137" s="166"/>
      <c r="M137" s="57"/>
      <c r="N137" s="57"/>
      <c r="O137" s="179"/>
      <c r="P137" s="180"/>
      <c r="Q137" s="180"/>
      <c r="R137" s="181"/>
      <c r="S137" s="133"/>
      <c r="X137" s="3">
        <f>X136-1</f>
        <v>-2</v>
      </c>
      <c r="Y137" s="3" t="str">
        <f>IF(W59=TRUE,"Ingen ytelser oppfyller dokumentasjonskravet. Produktet/produktene tilfredsstiller derfor ikke kravene til BREEAM-NOR.","Det finnes to ytelser som ikke oppfyller dokumentasjonskravet. Produktet/produktene tilfredsstiller derfor ikke kravene til BREEAM-NOR.")</f>
        <v>Det finnes to ytelser som ikke oppfyller dokumentasjonskravet. Produktet/produktene tilfredsstiller derfor ikke kravene til BREEAM-NOR.</v>
      </c>
      <c r="AB137" s="3">
        <f>AB136-1</f>
        <v>-2</v>
      </c>
      <c r="AC137" s="3" t="s">
        <v>67</v>
      </c>
      <c r="BU137" s="44"/>
      <c r="BV137" s="44"/>
      <c r="BW137" s="44"/>
      <c r="BX137" s="44"/>
      <c r="BY137" s="44"/>
      <c r="BZ137" s="44"/>
      <c r="CA137" s="44"/>
      <c r="CB137" s="44"/>
      <c r="CC137" s="44"/>
      <c r="CD137" s="44"/>
      <c r="CE137" s="44"/>
      <c r="CF137" s="44"/>
      <c r="CG137" s="44"/>
      <c r="CH137" s="44"/>
      <c r="CI137" s="44"/>
      <c r="CJ137" s="44"/>
      <c r="CK137" s="44"/>
      <c r="CL137" s="44"/>
      <c r="CM137" s="44"/>
      <c r="CN137" s="44"/>
      <c r="CO137" s="44"/>
      <c r="CP137" s="44"/>
      <c r="CQ137" s="44"/>
      <c r="CR137" s="44"/>
      <c r="CS137" s="44"/>
      <c r="CT137" s="44"/>
      <c r="CU137" s="44"/>
      <c r="CV137" s="44"/>
      <c r="CW137" s="44"/>
      <c r="CX137" s="44"/>
      <c r="CY137" s="44"/>
      <c r="CZ137" s="44"/>
      <c r="DA137" s="44"/>
      <c r="DB137" s="44"/>
      <c r="DC137" s="44"/>
      <c r="DD137" s="44"/>
      <c r="DE137" s="44"/>
      <c r="DF137" s="44"/>
      <c r="DG137" s="44"/>
      <c r="DH137" s="44"/>
      <c r="DI137" s="44"/>
      <c r="DJ137" s="44"/>
      <c r="DK137" s="44"/>
      <c r="DL137" s="44"/>
      <c r="DM137" s="44"/>
      <c r="DN137" s="44"/>
      <c r="DO137" s="44"/>
      <c r="DP137" s="44"/>
      <c r="DQ137" s="44"/>
      <c r="DR137" s="44"/>
      <c r="DS137" s="44"/>
      <c r="DT137" s="44"/>
      <c r="DU137" s="44"/>
      <c r="DV137" s="44"/>
      <c r="DW137" s="44"/>
      <c r="DX137" s="44"/>
      <c r="DY137" s="44"/>
      <c r="DZ137" s="44"/>
      <c r="EA137" s="44"/>
      <c r="EB137" s="44"/>
      <c r="EC137" s="44"/>
      <c r="ED137" s="44"/>
      <c r="EE137" s="44"/>
      <c r="EF137" s="44"/>
      <c r="EG137" s="44"/>
    </row>
    <row r="138" spans="1:137" ht="15.75">
      <c r="A138" s="14"/>
      <c r="B138" s="57"/>
      <c r="C138" s="57"/>
      <c r="D138" s="57"/>
      <c r="E138" s="57"/>
      <c r="F138" s="57"/>
      <c r="G138" s="57"/>
      <c r="H138" s="57"/>
      <c r="I138" s="57"/>
      <c r="J138" s="57"/>
      <c r="K138" s="57"/>
      <c r="L138" s="57"/>
      <c r="M138" s="57"/>
      <c r="N138" s="57"/>
      <c r="O138" s="57"/>
      <c r="P138" s="57"/>
      <c r="Q138" s="57"/>
      <c r="R138" s="57"/>
      <c r="S138" s="132" t="str">
        <f>IF(OR(R64=TRUE,U71=TRUE),"Til utskrift","")</f>
        <v/>
      </c>
      <c r="X138" s="3">
        <f t="shared" ref="X138:X146" si="3">X137-1</f>
        <v>-3</v>
      </c>
      <c r="Y138" s="3" t="s">
        <v>115</v>
      </c>
      <c r="AB138" s="3">
        <f t="shared" ref="AB138:AB146" si="4">AB137-1</f>
        <v>-3</v>
      </c>
      <c r="AC138" s="3" t="s">
        <v>68</v>
      </c>
      <c r="BU138" s="87"/>
      <c r="BV138" s="44"/>
      <c r="BW138" s="44"/>
      <c r="BX138" s="44"/>
      <c r="BY138" s="44"/>
      <c r="BZ138" s="44"/>
      <c r="CA138" s="44"/>
      <c r="CB138" s="44"/>
      <c r="CC138" s="44"/>
      <c r="CD138" s="44"/>
      <c r="CE138" s="44"/>
      <c r="CF138" s="44"/>
      <c r="CG138" s="44"/>
      <c r="CH138" s="44"/>
      <c r="CI138" s="44"/>
      <c r="CJ138" s="44"/>
      <c r="CK138" s="44"/>
      <c r="CL138" s="44"/>
      <c r="CM138" s="44"/>
      <c r="CN138" s="44"/>
      <c r="CO138" s="44"/>
      <c r="CP138" s="44"/>
      <c r="CQ138" s="44"/>
      <c r="CR138" s="44"/>
      <c r="CS138" s="44"/>
      <c r="CT138" s="44"/>
      <c r="CU138" s="44"/>
      <c r="CV138" s="44"/>
      <c r="CW138" s="44"/>
      <c r="CX138" s="44"/>
      <c r="CY138" s="44"/>
      <c r="CZ138" s="44"/>
      <c r="DA138" s="44"/>
      <c r="DB138" s="44"/>
      <c r="DC138" s="44"/>
      <c r="DD138" s="44"/>
      <c r="DE138" s="44"/>
      <c r="DF138" s="44"/>
      <c r="DG138" s="44"/>
      <c r="DH138" s="44"/>
      <c r="DI138" s="44"/>
      <c r="DJ138" s="44"/>
      <c r="DK138" s="44"/>
      <c r="DL138" s="44"/>
      <c r="DM138" s="44"/>
      <c r="DN138" s="44"/>
      <c r="DO138" s="44"/>
      <c r="DP138" s="44"/>
      <c r="DQ138" s="44"/>
      <c r="DR138" s="44"/>
      <c r="DS138" s="44"/>
      <c r="DT138" s="44"/>
      <c r="DU138" s="44"/>
      <c r="DV138" s="44"/>
      <c r="DW138" s="44"/>
      <c r="DX138" s="44"/>
      <c r="DY138" s="44"/>
      <c r="DZ138" s="44"/>
      <c r="EA138" s="44"/>
      <c r="EB138" s="44"/>
      <c r="EC138" s="44"/>
      <c r="ED138" s="44"/>
      <c r="EE138" s="44"/>
      <c r="EF138" s="44"/>
      <c r="EG138" s="44"/>
    </row>
    <row r="139" spans="1:137" ht="15" customHeight="1">
      <c r="A139" s="14"/>
      <c r="B139" s="57"/>
      <c r="C139" s="167" t="str">
        <f>IF($R$60=1,"",$BE$73)</f>
        <v/>
      </c>
      <c r="D139" s="161" t="str">
        <f>IF($R$60=1,"",$BF$73)</f>
        <v/>
      </c>
      <c r="E139" s="161"/>
      <c r="F139" s="161"/>
      <c r="G139" s="162"/>
      <c r="H139" s="57"/>
      <c r="I139" s="182" t="str">
        <f>IF($R$60=1,"",$BG$73)</f>
        <v/>
      </c>
      <c r="J139" s="161"/>
      <c r="K139" s="161" t="str">
        <f>IF($R$60=1,"",$BH$73)</f>
        <v/>
      </c>
      <c r="L139" s="162"/>
      <c r="M139" s="57"/>
      <c r="N139" s="57"/>
      <c r="O139" s="173"/>
      <c r="P139" s="174"/>
      <c r="Q139" s="174"/>
      <c r="R139" s="175"/>
      <c r="S139" s="138" t="str">
        <f>IF(O139="","",LEN(O139)&amp;" tegn")</f>
        <v/>
      </c>
      <c r="X139" s="3">
        <f t="shared" si="3"/>
        <v>-4</v>
      </c>
      <c r="Y139" s="3" t="s">
        <v>116</v>
      </c>
      <c r="AB139" s="3">
        <f t="shared" si="4"/>
        <v>-4</v>
      </c>
      <c r="AC139" s="3" t="s">
        <v>69</v>
      </c>
      <c r="BU139" s="44"/>
      <c r="BV139" s="44"/>
      <c r="BW139" s="44"/>
      <c r="BX139" s="44"/>
      <c r="BY139" s="44"/>
      <c r="BZ139" s="44"/>
      <c r="CA139" s="44"/>
      <c r="CB139" s="44"/>
      <c r="CC139" s="44"/>
      <c r="CD139" s="44"/>
      <c r="CE139" s="44"/>
      <c r="CF139" s="44"/>
      <c r="CG139" s="44"/>
      <c r="CH139" s="44"/>
      <c r="CI139" s="44"/>
      <c r="CJ139" s="44"/>
      <c r="CK139" s="44"/>
      <c r="CL139" s="44"/>
      <c r="CM139" s="44"/>
      <c r="CN139" s="44"/>
      <c r="CO139" s="44"/>
      <c r="CP139" s="44"/>
      <c r="CQ139" s="44"/>
      <c r="CR139" s="44"/>
      <c r="CS139" s="44"/>
      <c r="CT139" s="44"/>
      <c r="CU139" s="44"/>
      <c r="CV139" s="44"/>
      <c r="CW139" s="44"/>
      <c r="CX139" s="44"/>
      <c r="CY139" s="44"/>
      <c r="CZ139" s="44"/>
      <c r="DA139" s="44"/>
      <c r="DB139" s="44"/>
      <c r="DC139" s="44"/>
      <c r="DD139" s="44"/>
      <c r="DE139" s="44"/>
      <c r="DF139" s="44"/>
      <c r="DG139" s="44"/>
      <c r="DH139" s="44"/>
      <c r="DI139" s="44"/>
      <c r="DJ139" s="44"/>
      <c r="DK139" s="44"/>
      <c r="DL139" s="44"/>
      <c r="DM139" s="44"/>
      <c r="DN139" s="44"/>
      <c r="DO139" s="44"/>
      <c r="DP139" s="44"/>
      <c r="DQ139" s="44"/>
      <c r="DR139" s="44"/>
      <c r="DS139" s="44"/>
      <c r="DT139" s="44"/>
      <c r="DU139" s="44"/>
      <c r="DV139" s="44"/>
      <c r="DW139" s="44"/>
      <c r="DX139" s="44"/>
      <c r="DY139" s="44"/>
      <c r="DZ139" s="44"/>
      <c r="EA139" s="44"/>
      <c r="EB139" s="44"/>
      <c r="EC139" s="44"/>
      <c r="ED139" s="44"/>
      <c r="EE139" s="44"/>
      <c r="EF139" s="44"/>
      <c r="EG139" s="44"/>
    </row>
    <row r="140" spans="1:137" ht="15" customHeight="1">
      <c r="A140" s="14"/>
      <c r="B140" s="57"/>
      <c r="C140" s="168"/>
      <c r="D140" s="163"/>
      <c r="E140" s="163"/>
      <c r="F140" s="163"/>
      <c r="G140" s="164"/>
      <c r="H140" s="57"/>
      <c r="I140" s="183"/>
      <c r="J140" s="163"/>
      <c r="K140" s="163"/>
      <c r="L140" s="164"/>
      <c r="M140" s="57"/>
      <c r="N140" s="57"/>
      <c r="O140" s="176"/>
      <c r="P140" s="177"/>
      <c r="Q140" s="177"/>
      <c r="R140" s="178"/>
      <c r="S140" s="133"/>
      <c r="BU140" s="44"/>
      <c r="BV140" s="44"/>
      <c r="BW140" s="44"/>
      <c r="BX140" s="44"/>
      <c r="BY140" s="44"/>
      <c r="BZ140" s="44"/>
      <c r="CA140" s="44"/>
      <c r="CB140" s="44"/>
      <c r="CC140" s="44"/>
      <c r="CD140" s="44"/>
      <c r="CE140" s="44"/>
      <c r="CF140" s="44"/>
      <c r="CG140" s="44"/>
      <c r="CH140" s="44"/>
      <c r="CI140" s="44"/>
      <c r="CJ140" s="44"/>
      <c r="CK140" s="44"/>
      <c r="CL140" s="44"/>
      <c r="CM140" s="44"/>
      <c r="CN140" s="44"/>
      <c r="CO140" s="44"/>
      <c r="CP140" s="44"/>
      <c r="CQ140" s="44"/>
      <c r="CR140" s="44"/>
      <c r="CS140" s="44"/>
      <c r="CT140" s="44"/>
      <c r="CU140" s="44"/>
      <c r="CV140" s="44"/>
      <c r="CW140" s="44"/>
      <c r="CX140" s="44"/>
      <c r="CY140" s="44"/>
      <c r="CZ140" s="44"/>
      <c r="DA140" s="44"/>
      <c r="DB140" s="44"/>
      <c r="DC140" s="44"/>
      <c r="DD140" s="44"/>
      <c r="DE140" s="44"/>
      <c r="DF140" s="44"/>
      <c r="DG140" s="44"/>
      <c r="DH140" s="44"/>
      <c r="DI140" s="44"/>
      <c r="DJ140" s="44"/>
      <c r="DK140" s="44"/>
      <c r="DL140" s="44"/>
      <c r="DM140" s="44"/>
      <c r="DN140" s="44"/>
      <c r="DO140" s="44"/>
      <c r="DP140" s="44"/>
      <c r="DQ140" s="44"/>
      <c r="DR140" s="44"/>
      <c r="DS140" s="44"/>
      <c r="DT140" s="44"/>
      <c r="DU140" s="44"/>
      <c r="DV140" s="44"/>
      <c r="DW140" s="44"/>
      <c r="DX140" s="44"/>
      <c r="DY140" s="44"/>
      <c r="DZ140" s="44"/>
      <c r="EA140" s="44"/>
      <c r="EB140" s="44"/>
      <c r="EC140" s="44"/>
      <c r="ED140" s="44"/>
      <c r="EE140" s="44"/>
      <c r="EF140" s="44"/>
      <c r="EG140" s="44"/>
    </row>
    <row r="141" spans="1:137" ht="15" customHeight="1">
      <c r="A141" s="14"/>
      <c r="B141" s="57"/>
      <c r="C141" s="168"/>
      <c r="D141" s="163"/>
      <c r="E141" s="163"/>
      <c r="F141" s="163"/>
      <c r="G141" s="164"/>
      <c r="H141" s="57"/>
      <c r="I141" s="183"/>
      <c r="J141" s="163"/>
      <c r="K141" s="163"/>
      <c r="L141" s="164"/>
      <c r="M141" s="241" t="str">
        <f>IF(D139="","","JA")</f>
        <v/>
      </c>
      <c r="N141" s="221" t="str">
        <f>IF(D139="","","NEI")</f>
        <v/>
      </c>
      <c r="O141" s="176"/>
      <c r="P141" s="177"/>
      <c r="Q141" s="177"/>
      <c r="R141" s="178"/>
      <c r="S141" s="133"/>
      <c r="BU141" s="44"/>
      <c r="BV141" s="44"/>
      <c r="BW141" s="44"/>
      <c r="BX141" s="44"/>
      <c r="BY141" s="44"/>
      <c r="BZ141" s="44"/>
      <c r="CA141" s="44"/>
      <c r="CB141" s="44"/>
      <c r="CC141" s="44"/>
      <c r="CD141" s="44"/>
      <c r="CE141" s="44"/>
      <c r="CF141" s="44"/>
      <c r="CG141" s="44"/>
      <c r="CH141" s="44"/>
      <c r="CI141" s="44"/>
      <c r="CJ141" s="44"/>
      <c r="CK141" s="44"/>
      <c r="CL141" s="44"/>
      <c r="CM141" s="44"/>
      <c r="CN141" s="44"/>
      <c r="CO141" s="44"/>
      <c r="CP141" s="44"/>
      <c r="CQ141" s="44"/>
      <c r="CR141" s="44"/>
      <c r="CS141" s="44"/>
      <c r="CT141" s="44"/>
      <c r="CU141" s="44"/>
      <c r="CV141" s="44"/>
      <c r="CW141" s="44"/>
      <c r="CX141" s="44"/>
      <c r="CY141" s="44"/>
      <c r="CZ141" s="44"/>
      <c r="DA141" s="44"/>
      <c r="DB141" s="44"/>
      <c r="DC141" s="44"/>
      <c r="DD141" s="44"/>
      <c r="DE141" s="44"/>
      <c r="DF141" s="44"/>
      <c r="DG141" s="44"/>
      <c r="DH141" s="44"/>
      <c r="DI141" s="44"/>
      <c r="DJ141" s="44"/>
      <c r="DK141" s="44"/>
      <c r="DL141" s="44"/>
      <c r="DM141" s="44"/>
      <c r="DN141" s="44"/>
      <c r="DO141" s="44"/>
      <c r="DP141" s="44"/>
      <c r="DQ141" s="44"/>
      <c r="DR141" s="44"/>
      <c r="DS141" s="44"/>
      <c r="DT141" s="44"/>
      <c r="DU141" s="44"/>
      <c r="DV141" s="44"/>
      <c r="DW141" s="44"/>
      <c r="DX141" s="44"/>
      <c r="DY141" s="44"/>
      <c r="DZ141" s="44"/>
      <c r="EA141" s="44"/>
      <c r="EB141" s="44"/>
      <c r="EC141" s="44"/>
      <c r="ED141" s="44"/>
      <c r="EE141" s="44"/>
      <c r="EF141" s="44"/>
      <c r="EG141" s="44"/>
    </row>
    <row r="142" spans="1:137" ht="15.75">
      <c r="A142" s="14"/>
      <c r="B142" s="57"/>
      <c r="C142" s="168"/>
      <c r="D142" s="163"/>
      <c r="E142" s="163"/>
      <c r="F142" s="163"/>
      <c r="G142" s="164"/>
      <c r="H142" s="57"/>
      <c r="I142" s="183"/>
      <c r="J142" s="163"/>
      <c r="K142" s="163"/>
      <c r="L142" s="164"/>
      <c r="M142" s="241"/>
      <c r="N142" s="221"/>
      <c r="O142" s="176"/>
      <c r="P142" s="177"/>
      <c r="Q142" s="177"/>
      <c r="R142" s="178"/>
      <c r="S142" s="133"/>
      <c r="T142" s="3">
        <v>2</v>
      </c>
      <c r="U142" s="3" t="str">
        <f>IF(D139="","",IF(T142=1,TRUE,IF(T142=2,FALSE,"IR")))</f>
        <v/>
      </c>
      <c r="V142" s="3">
        <f>IF(U142=TRUE,1,IF(U142=FALSE,1,0))</f>
        <v>0</v>
      </c>
      <c r="W142" s="3" t="str">
        <f>IF(U142="","",IF(U142=TRUE,"Ja",IF(U142=FALSE,"Nei","Ikke relevant")))</f>
        <v/>
      </c>
      <c r="X142" s="3">
        <f>X139-1</f>
        <v>-5</v>
      </c>
      <c r="Y142" s="3" t="s">
        <v>117</v>
      </c>
      <c r="AB142" s="3">
        <f>AB139-1</f>
        <v>-5</v>
      </c>
      <c r="AC142" s="3" t="s">
        <v>70</v>
      </c>
      <c r="BU142" s="44"/>
      <c r="BV142" s="44"/>
      <c r="BW142" s="44"/>
      <c r="BX142" s="44"/>
      <c r="BY142" s="44"/>
      <c r="BZ142" s="44"/>
      <c r="CA142" s="44"/>
      <c r="CB142" s="44"/>
      <c r="CC142" s="44"/>
      <c r="CD142" s="44"/>
      <c r="CE142" s="44"/>
      <c r="CF142" s="44"/>
      <c r="CG142" s="44"/>
      <c r="CH142" s="44"/>
      <c r="CI142" s="44"/>
      <c r="CJ142" s="44"/>
      <c r="CK142" s="44"/>
      <c r="CL142" s="44"/>
      <c r="CM142" s="44"/>
      <c r="CN142" s="44"/>
      <c r="CO142" s="44"/>
      <c r="CP142" s="44"/>
      <c r="CQ142" s="44"/>
      <c r="CR142" s="44"/>
      <c r="CS142" s="44"/>
      <c r="CT142" s="44"/>
      <c r="CU142" s="44"/>
      <c r="CV142" s="44"/>
      <c r="CW142" s="44"/>
      <c r="CX142" s="44"/>
      <c r="CY142" s="44"/>
      <c r="CZ142" s="44"/>
      <c r="DA142" s="44"/>
      <c r="DB142" s="44"/>
      <c r="DC142" s="44"/>
      <c r="DD142" s="44"/>
      <c r="DE142" s="44"/>
      <c r="DF142" s="44"/>
      <c r="DG142" s="44"/>
      <c r="DH142" s="44"/>
      <c r="DI142" s="44"/>
      <c r="DJ142" s="44"/>
      <c r="DK142" s="44"/>
      <c r="DL142" s="44"/>
      <c r="DM142" s="44"/>
      <c r="DN142" s="44"/>
      <c r="DO142" s="44"/>
      <c r="DP142" s="44"/>
      <c r="DQ142" s="44"/>
      <c r="DR142" s="44"/>
      <c r="DS142" s="44"/>
      <c r="DT142" s="44"/>
      <c r="DU142" s="44"/>
      <c r="DV142" s="44"/>
      <c r="DW142" s="44"/>
      <c r="DX142" s="44"/>
      <c r="DY142" s="44"/>
      <c r="DZ142" s="44"/>
      <c r="EA142" s="44"/>
      <c r="EB142" s="44"/>
      <c r="EC142" s="44"/>
      <c r="ED142" s="44"/>
      <c r="EE142" s="44"/>
      <c r="EF142" s="44"/>
      <c r="EG142" s="44"/>
    </row>
    <row r="143" spans="1:137" ht="15.75">
      <c r="A143" s="14"/>
      <c r="B143" s="57"/>
      <c r="C143" s="168"/>
      <c r="D143" s="163"/>
      <c r="E143" s="163"/>
      <c r="F143" s="163"/>
      <c r="G143" s="164"/>
      <c r="H143" s="57"/>
      <c r="I143" s="183"/>
      <c r="J143" s="163"/>
      <c r="K143" s="163"/>
      <c r="L143" s="164"/>
      <c r="M143" s="57"/>
      <c r="N143" s="57"/>
      <c r="O143" s="176"/>
      <c r="P143" s="177"/>
      <c r="Q143" s="177"/>
      <c r="R143" s="178"/>
      <c r="S143" s="133"/>
      <c r="X143" s="3">
        <f t="shared" si="3"/>
        <v>-6</v>
      </c>
      <c r="Y143" s="3" t="s">
        <v>118</v>
      </c>
      <c r="AB143" s="3">
        <f t="shared" si="4"/>
        <v>-6</v>
      </c>
      <c r="AC143" s="3" t="s">
        <v>71</v>
      </c>
      <c r="BU143" s="44"/>
      <c r="BV143" s="44"/>
      <c r="BW143" s="44"/>
      <c r="BX143" s="44"/>
      <c r="BY143" s="44"/>
      <c r="BZ143" s="44"/>
      <c r="CA143" s="44"/>
      <c r="CB143" s="44"/>
      <c r="CC143" s="44"/>
      <c r="CD143" s="44"/>
      <c r="CE143" s="44"/>
      <c r="CF143" s="44"/>
      <c r="CG143" s="44"/>
      <c r="CH143" s="44"/>
      <c r="CI143" s="44"/>
      <c r="CJ143" s="44"/>
      <c r="CK143" s="44"/>
      <c r="CL143" s="44"/>
      <c r="CM143" s="44"/>
      <c r="CN143" s="44"/>
      <c r="CO143" s="44"/>
      <c r="CP143" s="44"/>
      <c r="CQ143" s="44"/>
      <c r="CR143" s="44"/>
      <c r="CS143" s="44"/>
      <c r="CT143" s="44"/>
      <c r="CU143" s="44"/>
      <c r="CV143" s="44"/>
      <c r="CW143" s="44"/>
      <c r="CX143" s="44"/>
      <c r="CY143" s="44"/>
      <c r="CZ143" s="44"/>
      <c r="DA143" s="44"/>
      <c r="DB143" s="44"/>
      <c r="DC143" s="44"/>
      <c r="DD143" s="44"/>
      <c r="DE143" s="44"/>
      <c r="DF143" s="44"/>
      <c r="DG143" s="44"/>
      <c r="DH143" s="44"/>
      <c r="DI143" s="44"/>
      <c r="DJ143" s="44"/>
      <c r="DK143" s="44"/>
      <c r="DL143" s="44"/>
      <c r="DM143" s="44"/>
      <c r="DN143" s="44"/>
      <c r="DO143" s="44"/>
      <c r="DP143" s="44"/>
      <c r="DQ143" s="44"/>
      <c r="DR143" s="44"/>
      <c r="DS143" s="44"/>
      <c r="DT143" s="44"/>
      <c r="DU143" s="44"/>
      <c r="DV143" s="44"/>
      <c r="DW143" s="44"/>
      <c r="DX143" s="44"/>
      <c r="DY143" s="44"/>
      <c r="DZ143" s="44"/>
      <c r="EA143" s="44"/>
      <c r="EB143" s="44"/>
      <c r="EC143" s="44"/>
      <c r="ED143" s="44"/>
      <c r="EE143" s="44"/>
      <c r="EF143" s="44"/>
      <c r="EG143" s="44"/>
    </row>
    <row r="144" spans="1:137" ht="15.75">
      <c r="A144" s="14"/>
      <c r="B144" s="57"/>
      <c r="C144" s="169"/>
      <c r="D144" s="165"/>
      <c r="E144" s="165"/>
      <c r="F144" s="165"/>
      <c r="G144" s="166"/>
      <c r="H144" s="57"/>
      <c r="I144" s="184"/>
      <c r="J144" s="165"/>
      <c r="K144" s="165"/>
      <c r="L144" s="166"/>
      <c r="M144" s="57"/>
      <c r="N144" s="57"/>
      <c r="O144" s="179"/>
      <c r="P144" s="180"/>
      <c r="Q144" s="180"/>
      <c r="R144" s="181"/>
      <c r="S144" s="133"/>
      <c r="X144" s="3">
        <f t="shared" si="3"/>
        <v>-7</v>
      </c>
      <c r="Y144" s="3" t="s">
        <v>119</v>
      </c>
      <c r="AB144" s="3">
        <f t="shared" si="4"/>
        <v>-7</v>
      </c>
      <c r="AC144" s="3" t="s">
        <v>72</v>
      </c>
      <c r="BU144" s="44"/>
      <c r="BV144" s="44"/>
      <c r="BW144" s="44"/>
      <c r="BX144" s="44"/>
      <c r="BY144" s="44"/>
      <c r="BZ144" s="44"/>
      <c r="CA144" s="44"/>
      <c r="CB144" s="44"/>
      <c r="CC144" s="44"/>
      <c r="CD144" s="44"/>
      <c r="CE144" s="44"/>
      <c r="CF144" s="44"/>
      <c r="CG144" s="44"/>
      <c r="CH144" s="44"/>
      <c r="CI144" s="44"/>
      <c r="CJ144" s="44"/>
      <c r="CK144" s="44"/>
      <c r="CL144" s="44"/>
      <c r="CM144" s="44"/>
      <c r="CN144" s="44"/>
      <c r="CO144" s="44"/>
      <c r="CP144" s="44"/>
      <c r="CQ144" s="44"/>
      <c r="CR144" s="44"/>
      <c r="CS144" s="44"/>
      <c r="CT144" s="44"/>
      <c r="CU144" s="44"/>
      <c r="CV144" s="44"/>
      <c r="CW144" s="44"/>
      <c r="CX144" s="44"/>
      <c r="CY144" s="44"/>
      <c r="CZ144" s="44"/>
      <c r="DA144" s="44"/>
      <c r="DB144" s="44"/>
      <c r="DC144" s="44"/>
      <c r="DD144" s="44"/>
      <c r="DE144" s="44"/>
      <c r="DF144" s="44"/>
      <c r="DG144" s="44"/>
      <c r="DH144" s="44"/>
      <c r="DI144" s="44"/>
      <c r="DJ144" s="44"/>
      <c r="DK144" s="44"/>
      <c r="DL144" s="44"/>
      <c r="DM144" s="44"/>
      <c r="DN144" s="44"/>
      <c r="DO144" s="44"/>
      <c r="DP144" s="44"/>
      <c r="DQ144" s="44"/>
      <c r="DR144" s="44"/>
      <c r="DS144" s="44"/>
      <c r="DT144" s="44"/>
      <c r="DU144" s="44"/>
      <c r="DV144" s="44"/>
      <c r="DW144" s="44"/>
      <c r="DX144" s="44"/>
      <c r="DY144" s="44"/>
      <c r="DZ144" s="44"/>
      <c r="EA144" s="44"/>
      <c r="EB144" s="44"/>
      <c r="EC144" s="44"/>
      <c r="ED144" s="44"/>
      <c r="EE144" s="44"/>
      <c r="EF144" s="44"/>
      <c r="EG144" s="44"/>
    </row>
    <row r="145" spans="1:137" ht="15.75">
      <c r="A145" s="14"/>
      <c r="B145" s="57"/>
      <c r="C145" s="57"/>
      <c r="D145" s="57"/>
      <c r="E145" s="57"/>
      <c r="F145" s="57"/>
      <c r="G145" s="57"/>
      <c r="H145" s="57"/>
      <c r="I145" s="57"/>
      <c r="J145" s="57"/>
      <c r="K145" s="57"/>
      <c r="L145" s="57"/>
      <c r="M145" s="57"/>
      <c r="N145" s="57"/>
      <c r="O145" s="57"/>
      <c r="P145" s="57"/>
      <c r="Q145" s="57"/>
      <c r="R145" s="57"/>
      <c r="S145" s="132" t="str">
        <f>IF(OR(R66=TRUE,R70=TRUE,T71=TRUE,V72=TRUE),"Til utskrift","")</f>
        <v/>
      </c>
      <c r="X145" s="3">
        <f t="shared" si="3"/>
        <v>-8</v>
      </c>
      <c r="Y145" s="3" t="s">
        <v>120</v>
      </c>
      <c r="AB145" s="3">
        <f t="shared" si="4"/>
        <v>-8</v>
      </c>
      <c r="AC145" s="3" t="s">
        <v>73</v>
      </c>
      <c r="BU145" s="87"/>
      <c r="BV145" s="44"/>
      <c r="BW145" s="44"/>
      <c r="BX145" s="44"/>
      <c r="BY145" s="44"/>
      <c r="BZ145" s="44"/>
      <c r="CA145" s="44"/>
      <c r="CB145" s="44"/>
      <c r="CC145" s="44"/>
      <c r="CD145" s="44"/>
      <c r="CE145" s="44"/>
      <c r="CF145" s="44"/>
      <c r="CG145" s="44"/>
      <c r="CH145" s="44"/>
      <c r="CI145" s="44"/>
      <c r="CJ145" s="44"/>
      <c r="CK145" s="44"/>
      <c r="CL145" s="44"/>
      <c r="CM145" s="44"/>
      <c r="CN145" s="44"/>
      <c r="CO145" s="44"/>
      <c r="CP145" s="44"/>
      <c r="CQ145" s="44"/>
      <c r="CR145" s="44"/>
      <c r="CS145" s="44"/>
      <c r="CT145" s="44"/>
      <c r="CU145" s="44"/>
      <c r="CV145" s="44"/>
      <c r="CW145" s="44"/>
      <c r="CX145" s="44"/>
      <c r="CY145" s="44"/>
      <c r="CZ145" s="44"/>
      <c r="DA145" s="44"/>
      <c r="DB145" s="44"/>
      <c r="DC145" s="44"/>
      <c r="DD145" s="44"/>
      <c r="DE145" s="44"/>
      <c r="DF145" s="44"/>
      <c r="DG145" s="44"/>
      <c r="DH145" s="44"/>
      <c r="DI145" s="44"/>
      <c r="DJ145" s="44"/>
      <c r="DK145" s="44"/>
      <c r="DL145" s="44"/>
      <c r="DM145" s="44"/>
      <c r="DN145" s="44"/>
      <c r="DO145" s="44"/>
      <c r="DP145" s="44"/>
      <c r="DQ145" s="44"/>
      <c r="DR145" s="44"/>
      <c r="DS145" s="44"/>
      <c r="DT145" s="44"/>
      <c r="DU145" s="44"/>
      <c r="DV145" s="44"/>
      <c r="DW145" s="44"/>
      <c r="DX145" s="44"/>
      <c r="DY145" s="44"/>
      <c r="DZ145" s="44"/>
      <c r="EA145" s="44"/>
      <c r="EB145" s="44"/>
      <c r="EC145" s="44"/>
      <c r="ED145" s="44"/>
      <c r="EE145" s="44"/>
      <c r="EF145" s="44"/>
      <c r="EG145" s="44"/>
    </row>
    <row r="146" spans="1:137" ht="15" customHeight="1">
      <c r="A146" s="14"/>
      <c r="B146" s="57"/>
      <c r="C146" s="167" t="str">
        <f>IF($R$60=1,"",$BI$73)</f>
        <v/>
      </c>
      <c r="D146" s="161" t="str">
        <f>IF($R$60=1,"",$BJ$73)</f>
        <v/>
      </c>
      <c r="E146" s="161"/>
      <c r="F146" s="161"/>
      <c r="G146" s="162"/>
      <c r="H146" s="57"/>
      <c r="I146" s="182" t="str">
        <f>IF($R$60=1,"",$BK$73)</f>
        <v/>
      </c>
      <c r="J146" s="161"/>
      <c r="K146" s="161" t="str">
        <f>IF($R$60=1,"",$BL$73)</f>
        <v/>
      </c>
      <c r="L146" s="162"/>
      <c r="M146" s="57"/>
      <c r="N146" s="57"/>
      <c r="O146" s="173"/>
      <c r="P146" s="174"/>
      <c r="Q146" s="174"/>
      <c r="R146" s="175"/>
      <c r="S146" s="138" t="str">
        <f>IF(O146="","",LEN(O146)&amp;" tegn")</f>
        <v/>
      </c>
      <c r="X146" s="3">
        <f t="shared" si="3"/>
        <v>-9</v>
      </c>
      <c r="Y146" s="3" t="s">
        <v>121</v>
      </c>
      <c r="AB146" s="3">
        <f t="shared" si="4"/>
        <v>-9</v>
      </c>
      <c r="AC146" s="3" t="s">
        <v>74</v>
      </c>
      <c r="BU146" s="44"/>
      <c r="BV146" s="44"/>
      <c r="BW146" s="44"/>
      <c r="BX146" s="44"/>
      <c r="BY146" s="44"/>
      <c r="BZ146" s="44"/>
      <c r="CA146" s="44"/>
      <c r="CB146" s="44"/>
      <c r="CC146" s="44"/>
      <c r="CD146" s="44"/>
      <c r="CE146" s="44"/>
      <c r="CF146" s="44"/>
      <c r="CG146" s="44"/>
      <c r="CH146" s="44"/>
      <c r="CI146" s="44"/>
      <c r="CJ146" s="44"/>
      <c r="CK146" s="44"/>
      <c r="CL146" s="44"/>
      <c r="CM146" s="44"/>
      <c r="CN146" s="44"/>
      <c r="CO146" s="44"/>
      <c r="CP146" s="44"/>
      <c r="CQ146" s="44"/>
      <c r="CR146" s="44"/>
      <c r="CS146" s="44"/>
      <c r="CT146" s="44"/>
      <c r="CU146" s="44"/>
      <c r="CV146" s="44"/>
      <c r="CW146" s="44"/>
      <c r="CX146" s="44"/>
      <c r="CY146" s="44"/>
      <c r="CZ146" s="44"/>
      <c r="DA146" s="44"/>
      <c r="DB146" s="44"/>
      <c r="DC146" s="44"/>
      <c r="DD146" s="44"/>
      <c r="DE146" s="44"/>
      <c r="DF146" s="44"/>
      <c r="DG146" s="44"/>
      <c r="DH146" s="44"/>
      <c r="DI146" s="44"/>
      <c r="DJ146" s="44"/>
      <c r="DK146" s="44"/>
      <c r="DL146" s="44"/>
      <c r="DM146" s="44"/>
      <c r="DN146" s="44"/>
      <c r="DO146" s="44"/>
      <c r="DP146" s="44"/>
      <c r="DQ146" s="44"/>
      <c r="DR146" s="44"/>
      <c r="DS146" s="44"/>
      <c r="DT146" s="44"/>
      <c r="DU146" s="44"/>
      <c r="DV146" s="44"/>
      <c r="DW146" s="44"/>
      <c r="DX146" s="44"/>
      <c r="DY146" s="44"/>
      <c r="DZ146" s="44"/>
      <c r="EA146" s="44"/>
      <c r="EB146" s="44"/>
      <c r="EC146" s="44"/>
      <c r="ED146" s="44"/>
      <c r="EE146" s="44"/>
      <c r="EF146" s="44"/>
      <c r="EG146" s="44"/>
    </row>
    <row r="147" spans="1:137" ht="15" customHeight="1">
      <c r="A147" s="14"/>
      <c r="B147" s="57"/>
      <c r="C147" s="168"/>
      <c r="D147" s="163"/>
      <c r="E147" s="163"/>
      <c r="F147" s="163"/>
      <c r="G147" s="164"/>
      <c r="H147" s="57"/>
      <c r="I147" s="183"/>
      <c r="J147" s="163"/>
      <c r="K147" s="163"/>
      <c r="L147" s="164"/>
      <c r="M147" s="57"/>
      <c r="N147" s="57"/>
      <c r="O147" s="176"/>
      <c r="P147" s="177"/>
      <c r="Q147" s="177"/>
      <c r="R147" s="178"/>
      <c r="S147" s="133"/>
      <c r="BU147" s="44"/>
      <c r="BV147" s="44"/>
      <c r="BW147" s="44"/>
      <c r="BX147" s="44"/>
      <c r="BY147" s="44"/>
      <c r="BZ147" s="44"/>
      <c r="CA147" s="44"/>
      <c r="CB147" s="44"/>
      <c r="CC147" s="44"/>
      <c r="CD147" s="44"/>
      <c r="CE147" s="44"/>
      <c r="CF147" s="44"/>
      <c r="CG147" s="44"/>
      <c r="CH147" s="44"/>
      <c r="CI147" s="44"/>
      <c r="CJ147" s="44"/>
      <c r="CK147" s="44"/>
      <c r="CL147" s="44"/>
      <c r="CM147" s="44"/>
      <c r="CN147" s="44"/>
      <c r="CO147" s="44"/>
      <c r="CP147" s="44"/>
      <c r="CQ147" s="44"/>
      <c r="CR147" s="44"/>
      <c r="CS147" s="44"/>
      <c r="CT147" s="44"/>
      <c r="CU147" s="44"/>
      <c r="CV147" s="44"/>
      <c r="CW147" s="44"/>
      <c r="CX147" s="44"/>
      <c r="CY147" s="44"/>
      <c r="CZ147" s="44"/>
      <c r="DA147" s="44"/>
      <c r="DB147" s="44"/>
      <c r="DC147" s="44"/>
      <c r="DD147" s="44"/>
      <c r="DE147" s="44"/>
      <c r="DF147" s="44"/>
      <c r="DG147" s="44"/>
      <c r="DH147" s="44"/>
      <c r="DI147" s="44"/>
      <c r="DJ147" s="44"/>
      <c r="DK147" s="44"/>
      <c r="DL147" s="44"/>
      <c r="DM147" s="44"/>
      <c r="DN147" s="44"/>
      <c r="DO147" s="44"/>
      <c r="DP147" s="44"/>
      <c r="DQ147" s="44"/>
      <c r="DR147" s="44"/>
      <c r="DS147" s="44"/>
      <c r="DT147" s="44"/>
      <c r="DU147" s="44"/>
      <c r="DV147" s="44"/>
      <c r="DW147" s="44"/>
      <c r="DX147" s="44"/>
      <c r="DY147" s="44"/>
      <c r="DZ147" s="44"/>
      <c r="EA147" s="44"/>
      <c r="EB147" s="44"/>
      <c r="EC147" s="44"/>
      <c r="ED147" s="44"/>
      <c r="EE147" s="44"/>
      <c r="EF147" s="44"/>
      <c r="EG147" s="44"/>
    </row>
    <row r="148" spans="1:137" ht="15" customHeight="1">
      <c r="A148" s="14"/>
      <c r="B148" s="57"/>
      <c r="C148" s="168"/>
      <c r="D148" s="163"/>
      <c r="E148" s="163"/>
      <c r="F148" s="163"/>
      <c r="G148" s="164"/>
      <c r="H148" s="57"/>
      <c r="I148" s="183"/>
      <c r="J148" s="163"/>
      <c r="K148" s="163"/>
      <c r="L148" s="164"/>
      <c r="M148" s="241" t="str">
        <f>IF(D146="","","JA")</f>
        <v/>
      </c>
      <c r="N148" s="221" t="str">
        <f>IF(D146="","","NEI")</f>
        <v/>
      </c>
      <c r="O148" s="176"/>
      <c r="P148" s="177"/>
      <c r="Q148" s="177"/>
      <c r="R148" s="178"/>
      <c r="S148" s="133"/>
      <c r="BU148" s="44"/>
      <c r="BV148" s="44"/>
      <c r="BW148" s="44"/>
      <c r="BX148" s="44"/>
      <c r="BY148" s="44"/>
      <c r="BZ148" s="44"/>
      <c r="CA148" s="44"/>
      <c r="CB148" s="44"/>
      <c r="CC148" s="44"/>
      <c r="CD148" s="44"/>
      <c r="CE148" s="44"/>
      <c r="CF148" s="44"/>
      <c r="CG148" s="44"/>
      <c r="CH148" s="44"/>
      <c r="CI148" s="44"/>
      <c r="CJ148" s="44"/>
      <c r="CK148" s="44"/>
      <c r="CL148" s="44"/>
      <c r="CM148" s="44"/>
      <c r="CN148" s="44"/>
      <c r="CO148" s="44"/>
      <c r="CP148" s="44"/>
      <c r="CQ148" s="44"/>
      <c r="CR148" s="44"/>
      <c r="CS148" s="44"/>
      <c r="CT148" s="44"/>
      <c r="CU148" s="44"/>
      <c r="CV148" s="44"/>
      <c r="CW148" s="44"/>
      <c r="CX148" s="44"/>
      <c r="CY148" s="44"/>
      <c r="CZ148" s="44"/>
      <c r="DA148" s="44"/>
      <c r="DB148" s="44"/>
      <c r="DC148" s="44"/>
      <c r="DD148" s="44"/>
      <c r="DE148" s="44"/>
      <c r="DF148" s="44"/>
      <c r="DG148" s="44"/>
      <c r="DH148" s="44"/>
      <c r="DI148" s="44"/>
      <c r="DJ148" s="44"/>
      <c r="DK148" s="44"/>
      <c r="DL148" s="44"/>
      <c r="DM148" s="44"/>
      <c r="DN148" s="44"/>
      <c r="DO148" s="44"/>
      <c r="DP148" s="44"/>
      <c r="DQ148" s="44"/>
      <c r="DR148" s="44"/>
      <c r="DS148" s="44"/>
      <c r="DT148" s="44"/>
      <c r="DU148" s="44"/>
      <c r="DV148" s="44"/>
      <c r="DW148" s="44"/>
      <c r="DX148" s="44"/>
      <c r="DY148" s="44"/>
      <c r="DZ148" s="44"/>
      <c r="EA148" s="44"/>
      <c r="EB148" s="44"/>
      <c r="EC148" s="44"/>
      <c r="ED148" s="44"/>
      <c r="EE148" s="44"/>
      <c r="EF148" s="44"/>
      <c r="EG148" s="44"/>
    </row>
    <row r="149" spans="1:137" ht="15" customHeight="1">
      <c r="A149" s="14"/>
      <c r="B149" s="57"/>
      <c r="C149" s="168"/>
      <c r="D149" s="163"/>
      <c r="E149" s="163"/>
      <c r="F149" s="163"/>
      <c r="G149" s="164"/>
      <c r="H149" s="57"/>
      <c r="I149" s="183"/>
      <c r="J149" s="163"/>
      <c r="K149" s="163"/>
      <c r="L149" s="164"/>
      <c r="M149" s="241"/>
      <c r="N149" s="221"/>
      <c r="O149" s="176"/>
      <c r="P149" s="177"/>
      <c r="Q149" s="177"/>
      <c r="R149" s="178"/>
      <c r="S149" s="133"/>
      <c r="BU149" s="44"/>
      <c r="BV149" s="44"/>
      <c r="BW149" s="44"/>
      <c r="BX149" s="44"/>
      <c r="BY149" s="44"/>
      <c r="BZ149" s="44"/>
      <c r="CA149" s="44"/>
      <c r="CB149" s="44"/>
      <c r="CC149" s="44"/>
      <c r="CD149" s="44"/>
      <c r="CE149" s="44"/>
      <c r="CF149" s="44"/>
      <c r="CG149" s="44"/>
      <c r="CH149" s="44"/>
      <c r="CI149" s="44"/>
      <c r="CJ149" s="44"/>
      <c r="CK149" s="44"/>
      <c r="CL149" s="44"/>
      <c r="CM149" s="44"/>
      <c r="CN149" s="44"/>
      <c r="CO149" s="44"/>
      <c r="CP149" s="44"/>
      <c r="CQ149" s="44"/>
      <c r="CR149" s="44"/>
      <c r="CS149" s="44"/>
      <c r="CT149" s="44"/>
      <c r="CU149" s="44"/>
      <c r="CV149" s="44"/>
      <c r="CW149" s="44"/>
      <c r="CX149" s="44"/>
      <c r="CY149" s="44"/>
      <c r="CZ149" s="44"/>
      <c r="DA149" s="44"/>
      <c r="DB149" s="44"/>
      <c r="DC149" s="44"/>
      <c r="DD149" s="44"/>
      <c r="DE149" s="44"/>
      <c r="DF149" s="44"/>
      <c r="DG149" s="44"/>
      <c r="DH149" s="44"/>
      <c r="DI149" s="44"/>
      <c r="DJ149" s="44"/>
      <c r="DK149" s="44"/>
      <c r="DL149" s="44"/>
      <c r="DM149" s="44"/>
      <c r="DN149" s="44"/>
      <c r="DO149" s="44"/>
      <c r="DP149" s="44"/>
      <c r="DQ149" s="44"/>
      <c r="DR149" s="44"/>
      <c r="DS149" s="44"/>
      <c r="DT149" s="44"/>
      <c r="DU149" s="44"/>
      <c r="DV149" s="44"/>
      <c r="DW149" s="44"/>
      <c r="DX149" s="44"/>
      <c r="DY149" s="44"/>
      <c r="DZ149" s="44"/>
      <c r="EA149" s="44"/>
      <c r="EB149" s="44"/>
      <c r="EC149" s="44"/>
      <c r="ED149" s="44"/>
      <c r="EE149" s="44"/>
      <c r="EF149" s="44"/>
      <c r="EG149" s="44"/>
    </row>
    <row r="150" spans="1:137" ht="15.75">
      <c r="A150" s="14"/>
      <c r="B150" s="57"/>
      <c r="C150" s="168"/>
      <c r="D150" s="163"/>
      <c r="E150" s="163"/>
      <c r="F150" s="163"/>
      <c r="G150" s="164"/>
      <c r="H150" s="57"/>
      <c r="I150" s="183"/>
      <c r="J150" s="163"/>
      <c r="K150" s="163"/>
      <c r="L150" s="164"/>
      <c r="M150" s="57"/>
      <c r="N150" s="57"/>
      <c r="O150" s="176"/>
      <c r="P150" s="177"/>
      <c r="Q150" s="177"/>
      <c r="R150" s="178"/>
      <c r="S150" s="133"/>
      <c r="T150" s="3">
        <v>1</v>
      </c>
      <c r="U150" s="3" t="str">
        <f>IF(D146="","",IF(T150=1,TRUE,IF(T150=2,FALSE,"IR")))</f>
        <v/>
      </c>
      <c r="V150" s="3">
        <f>IF(U150=TRUE,1,IF(U150=FALSE,1,0))</f>
        <v>0</v>
      </c>
      <c r="W150" s="3" t="str">
        <f>IF(U150="","",IF(U150=TRUE,"Ja",IF(U150=FALSE,"Nei","Ikke relevant")))</f>
        <v/>
      </c>
      <c r="X150" s="3">
        <f>X146-1</f>
        <v>-10</v>
      </c>
      <c r="Y150" s="3" t="s">
        <v>122</v>
      </c>
      <c r="AB150" s="3">
        <f>AB146-1</f>
        <v>-10</v>
      </c>
      <c r="AC150" s="3" t="s">
        <v>75</v>
      </c>
      <c r="BU150" s="44"/>
      <c r="BV150" s="44"/>
      <c r="BW150" s="44"/>
      <c r="BX150" s="44"/>
      <c r="BY150" s="44"/>
      <c r="BZ150" s="44"/>
      <c r="CA150" s="44"/>
      <c r="CB150" s="44"/>
      <c r="CC150" s="44"/>
      <c r="CD150" s="44"/>
      <c r="CE150" s="44"/>
      <c r="CF150" s="44"/>
      <c r="CG150" s="44"/>
      <c r="CH150" s="44"/>
      <c r="CI150" s="44"/>
      <c r="CJ150" s="44"/>
      <c r="CK150" s="44"/>
      <c r="CL150" s="44"/>
      <c r="CM150" s="44"/>
      <c r="CN150" s="44"/>
      <c r="CO150" s="44"/>
      <c r="CP150" s="44"/>
      <c r="CQ150" s="44"/>
      <c r="CR150" s="44"/>
      <c r="CS150" s="44"/>
      <c r="CT150" s="44"/>
      <c r="CU150" s="44"/>
      <c r="CV150" s="44"/>
      <c r="CW150" s="44"/>
      <c r="CX150" s="44"/>
      <c r="CY150" s="44"/>
      <c r="CZ150" s="44"/>
      <c r="DA150" s="44"/>
      <c r="DB150" s="44"/>
      <c r="DC150" s="44"/>
      <c r="DD150" s="44"/>
      <c r="DE150" s="44"/>
      <c r="DF150" s="44"/>
      <c r="DG150" s="44"/>
      <c r="DH150" s="44"/>
      <c r="DI150" s="44"/>
      <c r="DJ150" s="44"/>
      <c r="DK150" s="44"/>
      <c r="DL150" s="44"/>
      <c r="DM150" s="44"/>
      <c r="DN150" s="44"/>
      <c r="DO150" s="44"/>
      <c r="DP150" s="44"/>
      <c r="DQ150" s="44"/>
      <c r="DR150" s="44"/>
      <c r="DS150" s="44"/>
      <c r="DT150" s="44"/>
      <c r="DU150" s="44"/>
      <c r="DV150" s="44"/>
      <c r="DW150" s="44"/>
      <c r="DX150" s="44"/>
      <c r="DY150" s="44"/>
      <c r="DZ150" s="44"/>
      <c r="EA150" s="44"/>
      <c r="EB150" s="44"/>
      <c r="EC150" s="44"/>
      <c r="ED150" s="44"/>
      <c r="EE150" s="44"/>
      <c r="EF150" s="44"/>
      <c r="EG150" s="44"/>
    </row>
    <row r="151" spans="1:137" ht="15.75">
      <c r="A151" s="14"/>
      <c r="B151" s="57"/>
      <c r="C151" s="169"/>
      <c r="D151" s="165"/>
      <c r="E151" s="165"/>
      <c r="F151" s="165"/>
      <c r="G151" s="166"/>
      <c r="H151" s="57"/>
      <c r="I151" s="184"/>
      <c r="J151" s="165"/>
      <c r="K151" s="165"/>
      <c r="L151" s="166"/>
      <c r="M151" s="57"/>
      <c r="N151" s="57"/>
      <c r="O151" s="179"/>
      <c r="P151" s="180"/>
      <c r="Q151" s="180"/>
      <c r="R151" s="181"/>
      <c r="S151" s="133"/>
      <c r="T151" s="3">
        <f>COUNTIF(U88:U150,TRUE)</f>
        <v>0</v>
      </c>
      <c r="U151" s="3" t="str">
        <f>VLOOKUP(T151,X134:Y150,2,FALSE)</f>
        <v>Alle ytelsene oppfyller dokumentasjonskravene.</v>
      </c>
      <c r="V151" s="3">
        <f>SUM(V88:V150)</f>
        <v>0</v>
      </c>
      <c r="BU151" s="44"/>
      <c r="BV151" s="44"/>
      <c r="BW151" s="44"/>
      <c r="BX151" s="44"/>
      <c r="BY151" s="44"/>
      <c r="BZ151" s="44"/>
      <c r="CA151" s="44"/>
      <c r="CB151" s="44"/>
      <c r="CC151" s="44"/>
      <c r="CD151" s="44"/>
      <c r="CE151" s="44"/>
      <c r="CF151" s="44"/>
      <c r="CG151" s="44"/>
      <c r="CH151" s="44"/>
      <c r="CI151" s="44"/>
      <c r="CJ151" s="44"/>
      <c r="CK151" s="44"/>
      <c r="CL151" s="44"/>
      <c r="CM151" s="44"/>
      <c r="CN151" s="44"/>
      <c r="CO151" s="44"/>
      <c r="CP151" s="44"/>
      <c r="CQ151" s="44"/>
      <c r="CR151" s="44"/>
      <c r="CS151" s="44"/>
      <c r="CT151" s="44"/>
      <c r="CU151" s="44"/>
      <c r="CV151" s="44"/>
      <c r="CW151" s="44"/>
      <c r="CX151" s="44"/>
      <c r="CY151" s="44"/>
      <c r="CZ151" s="44"/>
      <c r="DA151" s="44"/>
      <c r="DB151" s="44"/>
      <c r="DC151" s="44"/>
      <c r="DD151" s="44"/>
      <c r="DE151" s="44"/>
      <c r="DF151" s="44"/>
      <c r="DG151" s="44"/>
      <c r="DH151" s="44"/>
      <c r="DI151" s="44"/>
      <c r="DJ151" s="44"/>
      <c r="DK151" s="44"/>
      <c r="DL151" s="44"/>
      <c r="DM151" s="44"/>
      <c r="DN151" s="44"/>
      <c r="DO151" s="44"/>
      <c r="DP151" s="44"/>
      <c r="DQ151" s="44"/>
      <c r="DR151" s="44"/>
      <c r="DS151" s="44"/>
      <c r="DT151" s="44"/>
      <c r="DU151" s="44"/>
      <c r="DV151" s="44"/>
      <c r="DW151" s="44"/>
      <c r="DX151" s="44"/>
      <c r="DY151" s="44"/>
      <c r="DZ151" s="44"/>
      <c r="EA151" s="44"/>
      <c r="EB151" s="44"/>
      <c r="EC151" s="44"/>
      <c r="ED151" s="44"/>
      <c r="EE151" s="44"/>
      <c r="EF151" s="44"/>
      <c r="EG151" s="44"/>
    </row>
    <row r="152" spans="1:137" ht="15.75">
      <c r="A152" s="14"/>
      <c r="B152" s="57"/>
      <c r="C152" s="57"/>
      <c r="D152" s="57"/>
      <c r="E152" s="57"/>
      <c r="F152" s="57"/>
      <c r="G152" s="57"/>
      <c r="H152" s="57"/>
      <c r="I152" s="57"/>
      <c r="J152" s="57"/>
      <c r="K152" s="57"/>
      <c r="L152" s="57"/>
      <c r="M152" s="57"/>
      <c r="N152" s="57"/>
      <c r="O152" s="57"/>
      <c r="P152" s="57"/>
      <c r="Q152" s="57"/>
      <c r="R152" s="57"/>
      <c r="S152" s="132" t="str">
        <f>IF(OR(R63=TRUE,R65=TRUE,R68=TRUE,R69=TRUE),"Til utskrift","")</f>
        <v/>
      </c>
      <c r="T152" s="3">
        <f>COUNTIF(U88:U150,FALSE)</f>
        <v>0</v>
      </c>
      <c r="U152" s="3" t="str">
        <f>VLOOKUP(T152,AB134:AC150,2,FALSE)</f>
        <v>Alle stoffer på listen oppfyller dokumentasjonskravene til BREEAM-NOR.</v>
      </c>
      <c r="BU152" s="87"/>
      <c r="BV152" s="44"/>
      <c r="BW152" s="44"/>
      <c r="BX152" s="44"/>
      <c r="BY152" s="44"/>
      <c r="BZ152" s="44"/>
      <c r="CA152" s="44"/>
      <c r="CB152" s="44"/>
      <c r="CC152" s="44"/>
      <c r="CD152" s="44"/>
      <c r="CE152" s="44"/>
      <c r="CF152" s="44"/>
      <c r="CG152" s="44"/>
      <c r="CH152" s="44"/>
      <c r="CI152" s="44"/>
      <c r="CJ152" s="44"/>
      <c r="CK152" s="44"/>
      <c r="CL152" s="44"/>
      <c r="CM152" s="44"/>
      <c r="CN152" s="44"/>
      <c r="CO152" s="44"/>
      <c r="CP152" s="44"/>
      <c r="CQ152" s="44"/>
      <c r="CR152" s="44"/>
      <c r="CS152" s="44"/>
      <c r="CT152" s="44"/>
      <c r="CU152" s="44"/>
      <c r="CV152" s="44"/>
      <c r="CW152" s="44"/>
      <c r="CX152" s="44"/>
      <c r="CY152" s="44"/>
      <c r="CZ152" s="44"/>
      <c r="DA152" s="44"/>
      <c r="DB152" s="44"/>
      <c r="DC152" s="44"/>
      <c r="DD152" s="44"/>
      <c r="DE152" s="44"/>
      <c r="DF152" s="44"/>
      <c r="DG152" s="44"/>
      <c r="DH152" s="44"/>
      <c r="DI152" s="44"/>
      <c r="DJ152" s="44"/>
      <c r="DK152" s="44"/>
      <c r="DL152" s="44"/>
      <c r="DM152" s="44"/>
      <c r="DN152" s="44"/>
      <c r="DO152" s="44"/>
      <c r="DP152" s="44"/>
      <c r="DQ152" s="44"/>
      <c r="DR152" s="44"/>
      <c r="DS152" s="44"/>
      <c r="DT152" s="44"/>
      <c r="DU152" s="44"/>
      <c r="DV152" s="44"/>
      <c r="DW152" s="44"/>
      <c r="DX152" s="44"/>
      <c r="DY152" s="44"/>
      <c r="DZ152" s="44"/>
      <c r="EA152" s="44"/>
      <c r="EB152" s="44"/>
      <c r="EC152" s="44"/>
      <c r="ED152" s="44"/>
      <c r="EE152" s="44"/>
      <c r="EF152" s="44"/>
      <c r="EG152" s="44"/>
    </row>
    <row r="153" spans="1:137" s="1" customFormat="1" hidden="1">
      <c r="A153" s="35"/>
      <c r="B153" s="62"/>
      <c r="C153" s="63"/>
      <c r="D153" s="63"/>
      <c r="E153" s="63"/>
      <c r="F153" s="63"/>
      <c r="G153" s="63"/>
      <c r="H153" s="63"/>
      <c r="I153" s="62"/>
      <c r="J153" s="62"/>
      <c r="K153" s="62"/>
      <c r="L153" s="62"/>
      <c r="M153" s="35"/>
      <c r="N153" s="35"/>
      <c r="O153" s="64"/>
      <c r="P153" s="64"/>
      <c r="Q153" s="64"/>
      <c r="R153" s="64"/>
      <c r="S153" s="35"/>
      <c r="T153" s="3"/>
      <c r="U153" s="3" t="b">
        <f>IF(R48=2,U152,IF(R48=3,U151))</f>
        <v>0</v>
      </c>
      <c r="V153" s="3"/>
      <c r="W153" s="3"/>
      <c r="X153" s="3"/>
      <c r="Y153" s="3"/>
      <c r="Z153" s="3"/>
      <c r="AA153" s="3"/>
      <c r="AB153" s="3"/>
      <c r="AC153" s="3"/>
      <c r="AD153" s="3"/>
      <c r="AE153" s="3"/>
      <c r="AF153" s="3"/>
      <c r="AG153" s="3"/>
      <c r="AH153" s="3"/>
      <c r="AI153" s="3"/>
      <c r="AJ153" s="3"/>
      <c r="AK153" s="3"/>
      <c r="AL153" s="3"/>
      <c r="AM153" s="3"/>
      <c r="AN153" s="3"/>
      <c r="AO153" s="3"/>
      <c r="AP153" s="3"/>
      <c r="AQ153" s="3"/>
      <c r="AR153" s="3"/>
      <c r="AS153" s="3"/>
      <c r="AT153" s="3"/>
      <c r="AU153" s="3"/>
      <c r="AV153" s="3"/>
      <c r="AW153" s="3"/>
      <c r="AX153" s="3"/>
      <c r="AY153" s="3"/>
      <c r="AZ153" s="3"/>
      <c r="BA153" s="3"/>
      <c r="BB153" s="3"/>
      <c r="BC153" s="3"/>
      <c r="BD153" s="3"/>
      <c r="BE153" s="3"/>
      <c r="BF153" s="3"/>
      <c r="BG153" s="3"/>
      <c r="BH153" s="3"/>
      <c r="BI153" s="3"/>
      <c r="BJ153" s="3"/>
      <c r="BK153" s="3"/>
      <c r="BL153" s="3"/>
      <c r="BM153" s="3"/>
      <c r="BN153" s="3"/>
      <c r="BO153" s="3"/>
      <c r="BP153" s="3"/>
      <c r="BQ153" s="3"/>
      <c r="BR153" s="3"/>
      <c r="BS153" s="3"/>
      <c r="BT153" s="3"/>
      <c r="BU153" s="65"/>
      <c r="BV153" s="35"/>
      <c r="BW153" s="35"/>
      <c r="BX153" s="35"/>
      <c r="BY153" s="35"/>
      <c r="BZ153" s="35"/>
      <c r="CA153" s="35"/>
      <c r="CB153" s="35"/>
      <c r="CC153" s="35"/>
      <c r="CD153" s="35"/>
      <c r="CE153" s="35"/>
      <c r="CF153" s="35"/>
      <c r="CG153" s="35"/>
      <c r="CH153" s="35"/>
      <c r="CI153" s="35"/>
      <c r="CJ153" s="35"/>
      <c r="CK153" s="35"/>
      <c r="CL153" s="35"/>
      <c r="CM153" s="35"/>
      <c r="CN153" s="35"/>
      <c r="CO153" s="35"/>
      <c r="CP153" s="35"/>
      <c r="CQ153" s="35"/>
      <c r="CR153" s="35"/>
      <c r="CS153" s="35"/>
      <c r="CT153" s="35"/>
      <c r="CU153" s="35"/>
      <c r="CV153" s="35"/>
      <c r="CW153" s="35"/>
      <c r="CX153" s="35"/>
      <c r="CY153" s="35"/>
      <c r="CZ153" s="35"/>
      <c r="DA153" s="35"/>
      <c r="DB153" s="35"/>
      <c r="DC153" s="35"/>
      <c r="DD153" s="35"/>
      <c r="DE153" s="35"/>
      <c r="DF153" s="35"/>
      <c r="DG153" s="35"/>
      <c r="DH153" s="35"/>
      <c r="DI153" s="35"/>
      <c r="DJ153" s="35"/>
      <c r="DK153" s="35"/>
      <c r="DL153" s="35"/>
      <c r="DM153" s="35"/>
      <c r="DN153" s="35"/>
      <c r="DO153" s="35"/>
      <c r="DP153" s="35"/>
      <c r="DQ153" s="35"/>
      <c r="DR153" s="35"/>
      <c r="DS153" s="35"/>
      <c r="DT153" s="35"/>
      <c r="DU153" s="35"/>
      <c r="DV153" s="35"/>
      <c r="DW153" s="35"/>
      <c r="DX153" s="35"/>
      <c r="DY153" s="35"/>
      <c r="DZ153" s="35"/>
      <c r="EA153" s="35"/>
      <c r="EB153" s="35"/>
      <c r="EC153" s="35"/>
      <c r="ED153" s="35"/>
      <c r="EE153" s="35"/>
      <c r="EF153" s="35"/>
      <c r="EG153" s="35"/>
    </row>
    <row r="154" spans="1:137" s="1" customFormat="1" hidden="1">
      <c r="A154" s="35"/>
      <c r="B154" s="62"/>
      <c r="C154" s="62"/>
      <c r="D154" s="62"/>
      <c r="E154" s="62"/>
      <c r="F154" s="62"/>
      <c r="G154" s="62"/>
      <c r="H154" s="62"/>
      <c r="I154" s="62"/>
      <c r="J154" s="62"/>
      <c r="K154" s="62"/>
      <c r="L154" s="62"/>
      <c r="M154" s="35"/>
      <c r="N154" s="35"/>
      <c r="O154" s="64"/>
      <c r="P154" s="64"/>
      <c r="Q154" s="64"/>
      <c r="R154" s="64"/>
      <c r="S154" s="35"/>
      <c r="T154" s="3">
        <f>COUNTIF(U88:U150,"IR")</f>
        <v>0</v>
      </c>
      <c r="U154" s="3"/>
      <c r="V154" s="3"/>
      <c r="W154" s="3"/>
      <c r="X154" s="3"/>
      <c r="Y154" s="3"/>
      <c r="Z154" s="3"/>
      <c r="AA154" s="3"/>
      <c r="AB154" s="3"/>
      <c r="AC154" s="3"/>
      <c r="AD154" s="3"/>
      <c r="AE154" s="3"/>
      <c r="AF154" s="3"/>
      <c r="AG154" s="3"/>
      <c r="AH154" s="3"/>
      <c r="AI154" s="3"/>
      <c r="AJ154" s="3"/>
      <c r="AK154" s="3"/>
      <c r="AL154" s="3"/>
      <c r="AM154" s="3"/>
      <c r="AN154" s="3"/>
      <c r="AO154" s="3"/>
      <c r="AP154" s="3"/>
      <c r="AQ154" s="3"/>
      <c r="AR154" s="3"/>
      <c r="AS154" s="3"/>
      <c r="AT154" s="3"/>
      <c r="AU154" s="3"/>
      <c r="AV154" s="3"/>
      <c r="AW154" s="3"/>
      <c r="AX154" s="3"/>
      <c r="AY154" s="3"/>
      <c r="AZ154" s="3"/>
      <c r="BA154" s="3"/>
      <c r="BB154" s="3"/>
      <c r="BC154" s="3"/>
      <c r="BD154" s="3"/>
      <c r="BE154" s="3"/>
      <c r="BF154" s="3"/>
      <c r="BG154" s="3"/>
      <c r="BH154" s="3"/>
      <c r="BI154" s="3"/>
      <c r="BJ154" s="3"/>
      <c r="BK154" s="3"/>
      <c r="BL154" s="3"/>
      <c r="BM154" s="3"/>
      <c r="BN154" s="3"/>
      <c r="BO154" s="3"/>
      <c r="BP154" s="3"/>
      <c r="BQ154" s="3"/>
      <c r="BR154" s="3"/>
      <c r="BS154" s="3"/>
      <c r="BT154" s="3"/>
      <c r="BU154" s="65"/>
      <c r="BV154" s="35"/>
      <c r="BW154" s="35"/>
      <c r="BX154" s="35"/>
      <c r="BY154" s="35"/>
      <c r="BZ154" s="35"/>
      <c r="CA154" s="35"/>
      <c r="CB154" s="35"/>
      <c r="CC154" s="35"/>
      <c r="CD154" s="35"/>
      <c r="CE154" s="35"/>
      <c r="CF154" s="35"/>
      <c r="CG154" s="35"/>
      <c r="CH154" s="35"/>
      <c r="CI154" s="35"/>
      <c r="CJ154" s="35"/>
      <c r="CK154" s="35"/>
      <c r="CL154" s="35"/>
      <c r="CM154" s="35"/>
      <c r="CN154" s="35"/>
      <c r="CO154" s="35"/>
      <c r="CP154" s="35"/>
      <c r="CQ154" s="35"/>
      <c r="CR154" s="35"/>
      <c r="CS154" s="35"/>
      <c r="CT154" s="35"/>
      <c r="CU154" s="35"/>
      <c r="CV154" s="35"/>
      <c r="CW154" s="35"/>
      <c r="CX154" s="35"/>
      <c r="CY154" s="35"/>
      <c r="CZ154" s="35"/>
      <c r="DA154" s="35"/>
      <c r="DB154" s="35"/>
      <c r="DC154" s="35"/>
      <c r="DD154" s="35"/>
      <c r="DE154" s="35"/>
      <c r="DF154" s="35"/>
      <c r="DG154" s="35"/>
      <c r="DH154" s="35"/>
      <c r="DI154" s="35"/>
      <c r="DJ154" s="35"/>
      <c r="DK154" s="35"/>
      <c r="DL154" s="35"/>
      <c r="DM154" s="35"/>
      <c r="DN154" s="35"/>
      <c r="DO154" s="35"/>
      <c r="DP154" s="35"/>
      <c r="DQ154" s="35"/>
      <c r="DR154" s="35"/>
      <c r="DS154" s="35"/>
      <c r="DT154" s="35"/>
      <c r="DU154" s="35"/>
      <c r="DV154" s="35"/>
      <c r="DW154" s="35"/>
      <c r="DX154" s="35"/>
      <c r="DY154" s="35"/>
      <c r="DZ154" s="35"/>
      <c r="EA154" s="35"/>
      <c r="EB154" s="35"/>
      <c r="EC154" s="35"/>
      <c r="ED154" s="35"/>
      <c r="EE154" s="35"/>
      <c r="EF154" s="35"/>
      <c r="EG154" s="35"/>
    </row>
    <row r="155" spans="1:137" s="1" customFormat="1" hidden="1">
      <c r="A155" s="35"/>
      <c r="B155" s="62"/>
      <c r="C155" s="62"/>
      <c r="D155" s="62"/>
      <c r="E155" s="62"/>
      <c r="F155" s="62"/>
      <c r="G155" s="62"/>
      <c r="H155" s="62"/>
      <c r="I155" s="62"/>
      <c r="J155" s="62"/>
      <c r="K155" s="62"/>
      <c r="L155" s="62"/>
      <c r="M155" s="35"/>
      <c r="N155" s="35"/>
      <c r="O155" s="64"/>
      <c r="P155" s="64"/>
      <c r="Q155" s="64"/>
      <c r="R155" s="64"/>
      <c r="S155" s="35"/>
      <c r="T155" s="3"/>
      <c r="U155" s="3"/>
      <c r="V155" s="3"/>
      <c r="W155" s="3"/>
      <c r="X155" s="3"/>
      <c r="Y155" s="3"/>
      <c r="Z155" s="3"/>
      <c r="AA155" s="3"/>
      <c r="AB155" s="3"/>
      <c r="AC155" s="3"/>
      <c r="AD155" s="3"/>
      <c r="AE155" s="3"/>
      <c r="AF155" s="3"/>
      <c r="AG155" s="3"/>
      <c r="AH155" s="3"/>
      <c r="AI155" s="3"/>
      <c r="AJ155" s="3"/>
      <c r="AK155" s="3"/>
      <c r="AL155" s="3"/>
      <c r="AM155" s="3"/>
      <c r="AN155" s="3"/>
      <c r="AO155" s="3"/>
      <c r="AP155" s="3"/>
      <c r="AQ155" s="3"/>
      <c r="AR155" s="3"/>
      <c r="AS155" s="3"/>
      <c r="AT155" s="3"/>
      <c r="AU155" s="3"/>
      <c r="AV155" s="3"/>
      <c r="AW155" s="3"/>
      <c r="AX155" s="3"/>
      <c r="AY155" s="3"/>
      <c r="AZ155" s="3"/>
      <c r="BA155" s="3"/>
      <c r="BB155" s="3"/>
      <c r="BC155" s="3"/>
      <c r="BD155" s="3"/>
      <c r="BE155" s="3"/>
      <c r="BF155" s="3"/>
      <c r="BG155" s="3"/>
      <c r="BH155" s="3"/>
      <c r="BI155" s="3"/>
      <c r="BJ155" s="3"/>
      <c r="BK155" s="3"/>
      <c r="BL155" s="3"/>
      <c r="BM155" s="3"/>
      <c r="BN155" s="3"/>
      <c r="BO155" s="3"/>
      <c r="BP155" s="3"/>
      <c r="BQ155" s="3"/>
      <c r="BR155" s="3"/>
      <c r="BS155" s="3"/>
      <c r="BT155" s="3"/>
      <c r="BU155" s="65"/>
      <c r="BV155" s="35"/>
      <c r="BW155" s="35"/>
      <c r="BX155" s="35"/>
      <c r="BY155" s="35"/>
      <c r="BZ155" s="35"/>
      <c r="CA155" s="35"/>
      <c r="CB155" s="35"/>
      <c r="CC155" s="35"/>
      <c r="CD155" s="35"/>
      <c r="CE155" s="35"/>
      <c r="CF155" s="35"/>
      <c r="CG155" s="35"/>
      <c r="CH155" s="35"/>
      <c r="CI155" s="35"/>
      <c r="CJ155" s="35"/>
      <c r="CK155" s="35"/>
      <c r="CL155" s="35"/>
      <c r="CM155" s="35"/>
      <c r="CN155" s="35"/>
      <c r="CO155" s="35"/>
      <c r="CP155" s="35"/>
      <c r="CQ155" s="35"/>
      <c r="CR155" s="35"/>
      <c r="CS155" s="35"/>
      <c r="CT155" s="35"/>
      <c r="CU155" s="35"/>
      <c r="CV155" s="35"/>
      <c r="CW155" s="35"/>
      <c r="CX155" s="35"/>
      <c r="CY155" s="35"/>
      <c r="CZ155" s="35"/>
      <c r="DA155" s="35"/>
      <c r="DB155" s="35"/>
      <c r="DC155" s="35"/>
      <c r="DD155" s="35"/>
      <c r="DE155" s="35"/>
      <c r="DF155" s="35"/>
      <c r="DG155" s="35"/>
      <c r="DH155" s="35"/>
      <c r="DI155" s="35"/>
      <c r="DJ155" s="35"/>
      <c r="DK155" s="35"/>
      <c r="DL155" s="35"/>
      <c r="DM155" s="35"/>
      <c r="DN155" s="35"/>
      <c r="DO155" s="35"/>
      <c r="DP155" s="35"/>
      <c r="DQ155" s="35"/>
      <c r="DR155" s="35"/>
      <c r="DS155" s="35"/>
      <c r="DT155" s="35"/>
      <c r="DU155" s="35"/>
      <c r="DV155" s="35"/>
      <c r="DW155" s="35"/>
      <c r="DX155" s="35"/>
      <c r="DY155" s="35"/>
      <c r="DZ155" s="35"/>
      <c r="EA155" s="35"/>
      <c r="EB155" s="35"/>
      <c r="EC155" s="35"/>
      <c r="ED155" s="35"/>
      <c r="EE155" s="35"/>
      <c r="EF155" s="35"/>
      <c r="EG155" s="35"/>
    </row>
    <row r="156" spans="1:137" s="1" customFormat="1" hidden="1">
      <c r="A156" s="35"/>
      <c r="B156" s="63"/>
      <c r="C156" s="63"/>
      <c r="D156" s="63"/>
      <c r="E156" s="63"/>
      <c r="F156" s="63"/>
      <c r="G156" s="63"/>
      <c r="H156" s="63"/>
      <c r="I156" s="63"/>
      <c r="J156" s="63"/>
      <c r="K156" s="63"/>
      <c r="L156" s="63"/>
      <c r="M156" s="43"/>
      <c r="N156" s="43"/>
      <c r="O156" s="66"/>
      <c r="P156" s="66"/>
      <c r="Q156" s="64"/>
      <c r="R156" s="64"/>
      <c r="S156" s="35"/>
      <c r="T156" s="3"/>
      <c r="U156" s="3"/>
      <c r="V156" s="3"/>
      <c r="W156" s="3"/>
      <c r="X156" s="3"/>
      <c r="Y156" s="3"/>
      <c r="Z156" s="3"/>
      <c r="AA156" s="3"/>
      <c r="AB156" s="3"/>
      <c r="AC156" s="3"/>
      <c r="AD156" s="3"/>
      <c r="AE156" s="3"/>
      <c r="AF156" s="3"/>
      <c r="AG156" s="3"/>
      <c r="AH156" s="3"/>
      <c r="AI156" s="3"/>
      <c r="AJ156" s="3"/>
      <c r="AK156" s="3"/>
      <c r="AL156" s="3"/>
      <c r="AM156" s="3"/>
      <c r="AN156" s="3"/>
      <c r="AO156" s="3"/>
      <c r="AP156" s="3"/>
      <c r="AQ156" s="3"/>
      <c r="AR156" s="3"/>
      <c r="AS156" s="3"/>
      <c r="AT156" s="3"/>
      <c r="AU156" s="3"/>
      <c r="AV156" s="3"/>
      <c r="AW156" s="3"/>
      <c r="AX156" s="3"/>
      <c r="AY156" s="3"/>
      <c r="AZ156" s="3"/>
      <c r="BA156" s="3"/>
      <c r="BB156" s="3"/>
      <c r="BC156" s="3"/>
      <c r="BD156" s="3"/>
      <c r="BE156" s="3"/>
      <c r="BF156" s="3"/>
      <c r="BG156" s="3"/>
      <c r="BH156" s="3"/>
      <c r="BI156" s="3"/>
      <c r="BJ156" s="3"/>
      <c r="BK156" s="3"/>
      <c r="BL156" s="3"/>
      <c r="BM156" s="3"/>
      <c r="BN156" s="3"/>
      <c r="BO156" s="3"/>
      <c r="BP156" s="3"/>
      <c r="BQ156" s="3"/>
      <c r="BR156" s="3"/>
      <c r="BS156" s="3"/>
      <c r="BT156" s="3"/>
      <c r="BU156" s="35"/>
      <c r="BV156" s="35"/>
      <c r="BW156" s="35"/>
      <c r="BX156" s="35"/>
      <c r="BY156" s="35"/>
      <c r="BZ156" s="35"/>
      <c r="CA156" s="35"/>
      <c r="CB156" s="35"/>
      <c r="CC156" s="35"/>
      <c r="CD156" s="35"/>
      <c r="CE156" s="35"/>
      <c r="CF156" s="35"/>
      <c r="CG156" s="35"/>
      <c r="CH156" s="35"/>
      <c r="CI156" s="35"/>
      <c r="CJ156" s="35"/>
      <c r="CK156" s="35"/>
      <c r="CL156" s="35"/>
      <c r="CM156" s="35"/>
      <c r="CN156" s="35"/>
      <c r="CO156" s="35"/>
      <c r="CP156" s="35"/>
      <c r="CQ156" s="35"/>
      <c r="CR156" s="35"/>
      <c r="CS156" s="35"/>
      <c r="CT156" s="35"/>
      <c r="CU156" s="35"/>
      <c r="CV156" s="35"/>
      <c r="CW156" s="35"/>
      <c r="CX156" s="35"/>
      <c r="CY156" s="35"/>
      <c r="CZ156" s="35"/>
      <c r="DA156" s="35"/>
      <c r="DB156" s="35"/>
      <c r="DC156" s="35"/>
      <c r="DD156" s="35"/>
      <c r="DE156" s="35"/>
      <c r="DF156" s="35"/>
      <c r="DG156" s="35"/>
      <c r="DH156" s="35"/>
      <c r="DI156" s="35"/>
      <c r="DJ156" s="35"/>
      <c r="DK156" s="35"/>
      <c r="DL156" s="35"/>
      <c r="DM156" s="35"/>
      <c r="DN156" s="35"/>
      <c r="DO156" s="35"/>
      <c r="DP156" s="35"/>
      <c r="DQ156" s="35"/>
      <c r="DR156" s="35"/>
      <c r="DS156" s="35"/>
      <c r="DT156" s="35"/>
      <c r="DU156" s="35"/>
      <c r="DV156" s="35"/>
      <c r="DW156" s="35"/>
      <c r="DX156" s="35"/>
      <c r="DY156" s="35"/>
      <c r="DZ156" s="35"/>
      <c r="EA156" s="35"/>
      <c r="EB156" s="35"/>
      <c r="EC156" s="35"/>
      <c r="ED156" s="35"/>
      <c r="EE156" s="35"/>
      <c r="EF156" s="35"/>
      <c r="EG156" s="35"/>
    </row>
    <row r="157" spans="1:137" ht="15.75">
      <c r="A157" s="14"/>
      <c r="B157" s="57"/>
      <c r="C157" s="86" t="str">
        <f>IF($R$67=TRUE,"Deklarering av produktinformasjon","")</f>
        <v/>
      </c>
      <c r="D157" s="85"/>
      <c r="E157" s="85"/>
      <c r="F157" s="85"/>
      <c r="G157" s="85"/>
      <c r="H157" s="55"/>
      <c r="I157" s="55"/>
      <c r="J157" s="45"/>
      <c r="K157" s="45"/>
      <c r="L157" s="76"/>
      <c r="M157" s="45"/>
      <c r="N157" s="45"/>
      <c r="O157" s="76"/>
      <c r="P157" s="76"/>
      <c r="Q157" s="77"/>
      <c r="R157" s="77"/>
      <c r="S157" s="44"/>
      <c r="BU157" s="44"/>
      <c r="BV157" s="44"/>
      <c r="BW157" s="44"/>
      <c r="BX157" s="44"/>
      <c r="BY157" s="44"/>
      <c r="BZ157" s="44"/>
      <c r="CA157" s="44"/>
      <c r="CB157" s="44"/>
      <c r="CC157" s="44"/>
      <c r="CD157" s="44"/>
      <c r="CE157" s="44"/>
      <c r="CF157" s="44"/>
      <c r="CG157" s="44"/>
      <c r="CH157" s="44"/>
      <c r="CI157" s="44"/>
      <c r="CJ157" s="44"/>
      <c r="CK157" s="44"/>
      <c r="CL157" s="44"/>
      <c r="CM157" s="44"/>
      <c r="CN157" s="44"/>
      <c r="CO157" s="44"/>
      <c r="CP157" s="44"/>
      <c r="CQ157" s="44"/>
      <c r="CR157" s="44"/>
      <c r="CS157" s="44"/>
      <c r="CT157" s="44"/>
      <c r="CU157" s="44"/>
      <c r="CV157" s="44"/>
      <c r="CW157" s="44"/>
      <c r="CX157" s="44"/>
      <c r="CY157" s="44"/>
      <c r="CZ157" s="44"/>
      <c r="DA157" s="44"/>
      <c r="DB157" s="44"/>
      <c r="DC157" s="44"/>
      <c r="DD157" s="44"/>
      <c r="DE157" s="44"/>
      <c r="DF157" s="44"/>
      <c r="DG157" s="44"/>
      <c r="DH157" s="44"/>
      <c r="DI157" s="44"/>
      <c r="DJ157" s="44"/>
      <c r="DK157" s="44"/>
      <c r="DL157" s="44"/>
      <c r="DM157" s="44"/>
      <c r="DN157" s="44"/>
      <c r="DO157" s="44"/>
      <c r="DP157" s="44"/>
      <c r="DQ157" s="44"/>
      <c r="DR157" s="44"/>
      <c r="DS157" s="44"/>
      <c r="DT157" s="44"/>
      <c r="DU157" s="44"/>
      <c r="DV157" s="44"/>
      <c r="DW157" s="44"/>
      <c r="DX157" s="44"/>
      <c r="DY157" s="44"/>
      <c r="DZ157" s="44"/>
      <c r="EA157" s="44"/>
      <c r="EB157" s="44"/>
      <c r="EC157" s="44"/>
      <c r="ED157" s="44"/>
      <c r="EE157" s="44"/>
      <c r="EF157" s="44"/>
      <c r="EG157" s="44"/>
    </row>
    <row r="158" spans="1:137" ht="27.75" customHeight="1">
      <c r="A158" s="14"/>
      <c r="B158" s="44"/>
      <c r="C158" s="171" t="str">
        <f>IF($R$67=TRUE,$V$162,IF(OR($T$66=TRUE,$U$64=TRUE,V66=TRUE,V68=TRUE),"¹⁾ For PFOS er maksinnhold regulert gjennom spesifikasjon REACH vedlegg XVII artikkel 53, se:",IF($T$64=TRUE,"¹⁾ For PFOS er maksinnhold regulert gjennom spesifikasjon REACH vedlegg XVII artikkel 53, se:",IF($U$66=TRUE,"¹⁾ For PFOS er maksinnhold regulert gjennom spesifikasjon REACH vedlegg XVII artikkel 53, se:",IF($U$71=TRUE,"¹⁾ For kadmium i maling er maksinnhold regulert gjennom spesifikasjon REACH vedlegg XVII artikkel 53, se:",IF($T$71=TRUE,"¹⁾ For kadmium i maling er maksinnhold regulert gjennom spesifikasjon REACH vedlegg XVII artikkel 53, se:",IF(V72=TRUE,"¹⁾ For kadmium i maling er maksinnhold regulert gjennom spesifikasjon REACH vedlegg XVII artikkel 53, og ",$BM$73)))))))</f>
        <v/>
      </c>
      <c r="D158" s="171"/>
      <c r="E158" s="171"/>
      <c r="F158" s="171"/>
      <c r="G158" s="171"/>
      <c r="H158" s="44"/>
      <c r="I158" s="171" t="str">
        <f>IF(R48=1,"",IF($R$67=TRUE,V164,""))</f>
        <v/>
      </c>
      <c r="J158" s="171"/>
      <c r="K158" s="171"/>
      <c r="L158" s="171"/>
      <c r="M158" s="78"/>
      <c r="N158" s="79"/>
      <c r="O158" s="79"/>
      <c r="P158" s="78"/>
      <c r="Q158" s="77"/>
      <c r="R158" s="77"/>
      <c r="S158" s="44"/>
      <c r="BU158" s="44"/>
      <c r="BV158" s="44"/>
      <c r="BW158" s="44"/>
      <c r="BX158" s="44"/>
      <c r="BY158" s="44"/>
      <c r="BZ158" s="44"/>
      <c r="CA158" s="44"/>
      <c r="CB158" s="44"/>
      <c r="CC158" s="44"/>
      <c r="CD158" s="44"/>
      <c r="CE158" s="44"/>
      <c r="CF158" s="44"/>
      <c r="CG158" s="44"/>
      <c r="CH158" s="44"/>
      <c r="CI158" s="44"/>
      <c r="CJ158" s="44"/>
      <c r="CK158" s="44"/>
      <c r="CL158" s="44"/>
      <c r="CM158" s="44"/>
      <c r="CN158" s="44"/>
      <c r="CO158" s="44"/>
      <c r="CP158" s="44"/>
      <c r="CQ158" s="44"/>
      <c r="CR158" s="44"/>
      <c r="CS158" s="44"/>
      <c r="CT158" s="44"/>
      <c r="CU158" s="44"/>
      <c r="CV158" s="44"/>
      <c r="CW158" s="44"/>
      <c r="CX158" s="44"/>
      <c r="CY158" s="44"/>
      <c r="CZ158" s="44"/>
      <c r="DA158" s="44"/>
      <c r="DB158" s="44"/>
      <c r="DC158" s="44"/>
      <c r="DD158" s="44"/>
      <c r="DE158" s="44"/>
      <c r="DF158" s="44"/>
      <c r="DG158" s="44"/>
      <c r="DH158" s="44"/>
      <c r="DI158" s="44"/>
      <c r="DJ158" s="44"/>
      <c r="DK158" s="44"/>
      <c r="DL158" s="44"/>
      <c r="DM158" s="44"/>
      <c r="DN158" s="44"/>
      <c r="DO158" s="44"/>
      <c r="DP158" s="44"/>
      <c r="DQ158" s="44"/>
      <c r="DR158" s="44"/>
      <c r="DS158" s="44"/>
      <c r="DT158" s="44"/>
      <c r="DU158" s="44"/>
      <c r="DV158" s="44"/>
      <c r="DW158" s="44"/>
      <c r="DX158" s="44"/>
      <c r="DY158" s="44"/>
      <c r="DZ158" s="44"/>
      <c r="EA158" s="44"/>
      <c r="EB158" s="44"/>
      <c r="EC158" s="44"/>
      <c r="ED158" s="44"/>
      <c r="EE158" s="44"/>
      <c r="EF158" s="44"/>
      <c r="EG158" s="44"/>
    </row>
    <row r="159" spans="1:137" ht="27.75" customHeight="1">
      <c r="A159" s="14"/>
      <c r="B159" s="44"/>
      <c r="C159" s="172" t="str">
        <f>IF($R$67=TRUE,V163,IF(OR($T$66=TRUE,$U$64=TRUE,V66=TRUE,V68=TRUE),"www.erdetfarlig.no eller www.miljodirektoratet.no/kjemikaliesok",IF($T$64=TRUE,"www.erdetfarlig.no eller www.miljodirektoratet.no/kjemikaliesok",IF($U$66=TRUE,"www.erdetfarlig.no eller www.miljodirektoratet.no/kjemikaliesok",IF(OR($T$71=TRUE,$U$71=TRUE),"www.erdetfarlig.no eller www.miljodirektoratet.no/kjemikaliesok",IF(V72=TRUE,"²⁾ For  PFOS er maksinnhold regulert gjennom spesifikasjon REACH vedlegg XVII artikkel 53, se:",$BN$73))))))</f>
        <v/>
      </c>
      <c r="D159" s="172"/>
      <c r="E159" s="172"/>
      <c r="F159" s="172"/>
      <c r="G159" s="172"/>
      <c r="H159" s="44"/>
      <c r="I159" s="172" t="str">
        <f>IF(R48=1,"",IF($R$67=TRUE,V165,""))</f>
        <v/>
      </c>
      <c r="J159" s="172"/>
      <c r="K159" s="172"/>
      <c r="L159" s="172"/>
      <c r="M159" s="80"/>
      <c r="N159" s="81"/>
      <c r="O159" s="81"/>
      <c r="P159" s="80"/>
      <c r="Q159" s="77"/>
      <c r="R159" s="77"/>
      <c r="S159" s="44"/>
      <c r="BU159" s="44"/>
      <c r="BV159" s="44"/>
      <c r="BW159" s="44"/>
      <c r="BX159" s="44"/>
      <c r="BY159" s="44"/>
      <c r="BZ159" s="44"/>
      <c r="CA159" s="44"/>
      <c r="CB159" s="44"/>
      <c r="CC159" s="44"/>
      <c r="CD159" s="44"/>
      <c r="CE159" s="44"/>
      <c r="CF159" s="44"/>
      <c r="CG159" s="44"/>
      <c r="CH159" s="44"/>
      <c r="CI159" s="44"/>
      <c r="CJ159" s="44"/>
      <c r="CK159" s="44"/>
      <c r="CL159" s="44"/>
      <c r="CM159" s="44"/>
      <c r="CN159" s="44"/>
      <c r="CO159" s="44"/>
      <c r="CP159" s="44"/>
      <c r="CQ159" s="44"/>
      <c r="CR159" s="44"/>
      <c r="CS159" s="44"/>
      <c r="CT159" s="44"/>
      <c r="CU159" s="44"/>
      <c r="CV159" s="44"/>
      <c r="CW159" s="44"/>
      <c r="CX159" s="44"/>
      <c r="CY159" s="44"/>
      <c r="CZ159" s="44"/>
      <c r="DA159" s="44"/>
      <c r="DB159" s="44"/>
      <c r="DC159" s="44"/>
      <c r="DD159" s="44"/>
      <c r="DE159" s="44"/>
      <c r="DF159" s="44"/>
      <c r="DG159" s="44"/>
      <c r="DH159" s="44"/>
      <c r="DI159" s="44"/>
      <c r="DJ159" s="44"/>
      <c r="DK159" s="44"/>
      <c r="DL159" s="44"/>
      <c r="DM159" s="44"/>
      <c r="DN159" s="44"/>
      <c r="DO159" s="44"/>
      <c r="DP159" s="44"/>
      <c r="DQ159" s="44"/>
      <c r="DR159" s="44"/>
      <c r="DS159" s="44"/>
      <c r="DT159" s="44"/>
      <c r="DU159" s="44"/>
      <c r="DV159" s="44"/>
      <c r="DW159" s="44"/>
      <c r="DX159" s="44"/>
      <c r="DY159" s="44"/>
      <c r="DZ159" s="44"/>
      <c r="EA159" s="44"/>
      <c r="EB159" s="44"/>
      <c r="EC159" s="44"/>
      <c r="ED159" s="44"/>
      <c r="EE159" s="44"/>
      <c r="EF159" s="44"/>
      <c r="EG159" s="44"/>
    </row>
    <row r="160" spans="1:137" ht="24.75" customHeight="1">
      <c r="A160" s="14"/>
      <c r="B160" s="44"/>
      <c r="C160" s="172"/>
      <c r="D160" s="172"/>
      <c r="E160" s="172"/>
      <c r="F160" s="172"/>
      <c r="G160" s="172"/>
      <c r="H160" s="44"/>
      <c r="I160" s="172" t="str">
        <f>IF(R48=1,"",IF($R$67=TRUE,V166,""))</f>
        <v/>
      </c>
      <c r="J160" s="172"/>
      <c r="K160" s="172"/>
      <c r="L160" s="172"/>
      <c r="M160" s="80"/>
      <c r="N160" s="81"/>
      <c r="O160" s="81"/>
      <c r="P160" s="80"/>
      <c r="Q160" s="77"/>
      <c r="R160" s="77"/>
      <c r="S160" s="44"/>
      <c r="BU160" s="44"/>
      <c r="BV160" s="44"/>
      <c r="BW160" s="44"/>
      <c r="BX160" s="44"/>
      <c r="BY160" s="44"/>
      <c r="BZ160" s="44"/>
      <c r="CA160" s="44"/>
      <c r="CB160" s="44"/>
      <c r="CC160" s="44"/>
      <c r="CD160" s="44"/>
      <c r="CE160" s="44"/>
      <c r="CF160" s="44"/>
      <c r="CG160" s="44"/>
      <c r="CH160" s="44"/>
      <c r="CI160" s="44"/>
      <c r="CJ160" s="44"/>
      <c r="CK160" s="44"/>
      <c r="CL160" s="44"/>
      <c r="CM160" s="44"/>
      <c r="CN160" s="44"/>
      <c r="CO160" s="44"/>
      <c r="CP160" s="44"/>
      <c r="CQ160" s="44"/>
      <c r="CR160" s="44"/>
      <c r="CS160" s="44"/>
      <c r="CT160" s="44"/>
      <c r="CU160" s="44"/>
      <c r="CV160" s="44"/>
      <c r="CW160" s="44"/>
      <c r="CX160" s="44"/>
      <c r="CY160" s="44"/>
      <c r="CZ160" s="44"/>
      <c r="DA160" s="44"/>
      <c r="DB160" s="44"/>
      <c r="DC160" s="44"/>
      <c r="DD160" s="44"/>
      <c r="DE160" s="44"/>
      <c r="DF160" s="44"/>
      <c r="DG160" s="44"/>
      <c r="DH160" s="44"/>
      <c r="DI160" s="44"/>
      <c r="DJ160" s="44"/>
      <c r="DK160" s="44"/>
      <c r="DL160" s="44"/>
      <c r="DM160" s="44"/>
      <c r="DN160" s="44"/>
      <c r="DO160" s="44"/>
      <c r="DP160" s="44"/>
      <c r="DQ160" s="44"/>
      <c r="DR160" s="44"/>
      <c r="DS160" s="44"/>
      <c r="DT160" s="44"/>
      <c r="DU160" s="44"/>
      <c r="DV160" s="44"/>
      <c r="DW160" s="44"/>
      <c r="DX160" s="44"/>
      <c r="DY160" s="44"/>
      <c r="DZ160" s="44"/>
      <c r="EA160" s="44"/>
      <c r="EB160" s="44"/>
      <c r="EC160" s="44"/>
      <c r="ED160" s="44"/>
      <c r="EE160" s="44"/>
      <c r="EF160" s="44"/>
      <c r="EG160" s="44"/>
    </row>
    <row r="161" spans="1:137" ht="21" customHeight="1">
      <c r="A161" s="14"/>
      <c r="B161" s="57"/>
      <c r="C161" s="222" t="str">
        <f>IF(V72=TRUE,"www.erdetfarlig.no eller www.miljodirektoratet.no/kjemikaliesok",IF($T$71=TRUE,"",BO73))</f>
        <v/>
      </c>
      <c r="D161" s="222"/>
      <c r="E161" s="222"/>
      <c r="F161" s="222"/>
      <c r="G161" s="222"/>
      <c r="H161" s="44"/>
      <c r="I161" s="82"/>
      <c r="J161" s="83"/>
      <c r="K161" s="83"/>
      <c r="L161" s="84"/>
      <c r="M161" s="83"/>
      <c r="N161" s="83"/>
      <c r="O161" s="84"/>
      <c r="P161" s="84"/>
      <c r="Q161" s="77"/>
      <c r="R161" s="77"/>
      <c r="S161" s="44"/>
      <c r="BU161" s="44"/>
      <c r="BV161" s="44"/>
      <c r="BW161" s="44"/>
      <c r="BX161" s="44"/>
      <c r="BY161" s="44"/>
      <c r="BZ161" s="44"/>
      <c r="CA161" s="44"/>
      <c r="CB161" s="44"/>
      <c r="CC161" s="44"/>
      <c r="CD161" s="44"/>
      <c r="CE161" s="44"/>
      <c r="CF161" s="44"/>
      <c r="CG161" s="44"/>
      <c r="CH161" s="44"/>
      <c r="CI161" s="44"/>
      <c r="CJ161" s="44"/>
      <c r="CK161" s="44"/>
      <c r="CL161" s="44"/>
      <c r="CM161" s="44"/>
      <c r="CN161" s="44"/>
      <c r="CO161" s="44"/>
      <c r="CP161" s="44"/>
      <c r="CQ161" s="44"/>
      <c r="CR161" s="44"/>
      <c r="CS161" s="44"/>
      <c r="CT161" s="44"/>
      <c r="CU161" s="44"/>
      <c r="CV161" s="44"/>
      <c r="CW161" s="44"/>
      <c r="CX161" s="44"/>
      <c r="CY161" s="44"/>
      <c r="CZ161" s="44"/>
      <c r="DA161" s="44"/>
      <c r="DB161" s="44"/>
      <c r="DC161" s="44"/>
      <c r="DD161" s="44"/>
      <c r="DE161" s="44"/>
      <c r="DF161" s="44"/>
      <c r="DG161" s="44"/>
      <c r="DH161" s="44"/>
      <c r="DI161" s="44"/>
      <c r="DJ161" s="44"/>
      <c r="DK161" s="44"/>
      <c r="DL161" s="44"/>
      <c r="DM161" s="44"/>
      <c r="DN161" s="44"/>
      <c r="DO161" s="44"/>
      <c r="DP161" s="44"/>
      <c r="DQ161" s="44"/>
      <c r="DR161" s="44"/>
      <c r="DS161" s="44"/>
      <c r="DT161" s="44"/>
      <c r="DU161" s="44"/>
      <c r="DV161" s="44"/>
      <c r="DW161" s="44"/>
      <c r="DX161" s="44"/>
      <c r="DY161" s="44"/>
      <c r="DZ161" s="44"/>
      <c r="EA161" s="44"/>
      <c r="EB161" s="44"/>
      <c r="EC161" s="44"/>
      <c r="ED161" s="44"/>
      <c r="EE161" s="44"/>
      <c r="EF161" s="44"/>
      <c r="EG161" s="44"/>
    </row>
    <row r="162" spans="1:137" ht="21" customHeight="1">
      <c r="A162" s="14"/>
      <c r="B162" s="57"/>
      <c r="C162" s="222"/>
      <c r="D162" s="222"/>
      <c r="E162" s="222"/>
      <c r="F162" s="222"/>
      <c r="G162" s="222"/>
      <c r="H162" s="44"/>
      <c r="I162" s="83"/>
      <c r="J162" s="83"/>
      <c r="K162" s="83"/>
      <c r="L162" s="83"/>
      <c r="M162" s="83"/>
      <c r="N162" s="83"/>
      <c r="O162" s="83"/>
      <c r="P162" s="83"/>
      <c r="Q162" s="44"/>
      <c r="R162" s="44"/>
      <c r="S162" s="44"/>
      <c r="V162" s="34" t="s">
        <v>62</v>
      </c>
      <c r="BU162" s="44"/>
      <c r="BV162" s="44"/>
      <c r="BW162" s="44"/>
      <c r="BX162" s="44"/>
      <c r="BY162" s="44"/>
      <c r="BZ162" s="44"/>
      <c r="CA162" s="44"/>
      <c r="CB162" s="44"/>
      <c r="CC162" s="44"/>
      <c r="CD162" s="44"/>
      <c r="CE162" s="44"/>
      <c r="CF162" s="44"/>
      <c r="CG162" s="44"/>
      <c r="CH162" s="44"/>
      <c r="CI162" s="44"/>
      <c r="CJ162" s="44"/>
      <c r="CK162" s="44"/>
      <c r="CL162" s="44"/>
      <c r="CM162" s="44"/>
      <c r="CN162" s="44"/>
      <c r="CO162" s="44"/>
      <c r="CP162" s="44"/>
      <c r="CQ162" s="44"/>
      <c r="CR162" s="44"/>
      <c r="CS162" s="44"/>
      <c r="CT162" s="44"/>
      <c r="CU162" s="44"/>
      <c r="CV162" s="44"/>
      <c r="CW162" s="44"/>
      <c r="CX162" s="44"/>
      <c r="CY162" s="44"/>
      <c r="CZ162" s="44"/>
      <c r="DA162" s="44"/>
      <c r="DB162" s="44"/>
      <c r="DC162" s="44"/>
      <c r="DD162" s="44"/>
      <c r="DE162" s="44"/>
      <c r="DF162" s="44"/>
      <c r="DG162" s="44"/>
      <c r="DH162" s="44"/>
      <c r="DI162" s="44"/>
      <c r="DJ162" s="44"/>
      <c r="DK162" s="44"/>
      <c r="DL162" s="44"/>
      <c r="DM162" s="44"/>
      <c r="DN162" s="44"/>
      <c r="DO162" s="44"/>
      <c r="DP162" s="44"/>
      <c r="DQ162" s="44"/>
      <c r="DR162" s="44"/>
      <c r="DS162" s="44"/>
      <c r="DT162" s="44"/>
      <c r="DU162" s="44"/>
      <c r="DV162" s="44"/>
      <c r="DW162" s="44"/>
      <c r="DX162" s="44"/>
      <c r="DY162" s="44"/>
      <c r="DZ162" s="44"/>
      <c r="EA162" s="44"/>
      <c r="EB162" s="44"/>
      <c r="EC162" s="44"/>
      <c r="ED162" s="44"/>
      <c r="EE162" s="44"/>
      <c r="EF162" s="44"/>
      <c r="EG162" s="44"/>
    </row>
    <row r="163" spans="1:137" ht="15" customHeight="1">
      <c r="A163" s="14"/>
      <c r="B163" s="57"/>
      <c r="C163" s="57"/>
      <c r="D163" s="57"/>
      <c r="E163" s="57"/>
      <c r="F163" s="57"/>
      <c r="G163" s="57"/>
      <c r="H163" s="57"/>
      <c r="I163" s="57"/>
      <c r="J163" s="44"/>
      <c r="K163" s="44"/>
      <c r="L163" s="44"/>
      <c r="M163" s="83"/>
      <c r="N163" s="83"/>
      <c r="O163" s="83"/>
      <c r="P163" s="44"/>
      <c r="Q163" s="44"/>
      <c r="R163" s="44"/>
      <c r="S163" s="44"/>
      <c r="V163" s="29" t="s">
        <v>61</v>
      </c>
      <c r="BU163" s="44"/>
      <c r="BV163" s="44"/>
      <c r="BW163" s="44"/>
      <c r="BX163" s="44"/>
      <c r="BY163" s="44"/>
      <c r="BZ163" s="44"/>
      <c r="CA163" s="44"/>
      <c r="CB163" s="44"/>
      <c r="CC163" s="44"/>
      <c r="CD163" s="44"/>
      <c r="CE163" s="44"/>
      <c r="CF163" s="44"/>
      <c r="CG163" s="44"/>
      <c r="CH163" s="44"/>
      <c r="CI163" s="44"/>
      <c r="CJ163" s="44"/>
      <c r="CK163" s="44"/>
      <c r="CL163" s="44"/>
      <c r="CM163" s="44"/>
      <c r="CN163" s="44"/>
      <c r="CO163" s="44"/>
      <c r="CP163" s="44"/>
      <c r="CQ163" s="44"/>
      <c r="CR163" s="44"/>
      <c r="CS163" s="44"/>
      <c r="CT163" s="44"/>
      <c r="CU163" s="44"/>
      <c r="CV163" s="44"/>
      <c r="CW163" s="44"/>
      <c r="CX163" s="44"/>
      <c r="CY163" s="44"/>
      <c r="CZ163" s="44"/>
      <c r="DA163" s="44"/>
      <c r="DB163" s="44"/>
      <c r="DC163" s="44"/>
      <c r="DD163" s="44"/>
      <c r="DE163" s="44"/>
      <c r="DF163" s="44"/>
      <c r="DG163" s="44"/>
      <c r="DH163" s="44"/>
      <c r="DI163" s="44"/>
      <c r="DJ163" s="44"/>
      <c r="DK163" s="44"/>
      <c r="DL163" s="44"/>
      <c r="DM163" s="44"/>
      <c r="DN163" s="44"/>
      <c r="DO163" s="44"/>
      <c r="DP163" s="44"/>
      <c r="DQ163" s="44"/>
      <c r="DR163" s="44"/>
      <c r="DS163" s="44"/>
      <c r="DT163" s="44"/>
      <c r="DU163" s="44"/>
      <c r="DV163" s="44"/>
      <c r="DW163" s="44"/>
      <c r="DX163" s="44"/>
      <c r="DY163" s="44"/>
      <c r="DZ163" s="44"/>
      <c r="EA163" s="44"/>
      <c r="EB163" s="44"/>
      <c r="EC163" s="44"/>
      <c r="ED163" s="44"/>
      <c r="EE163" s="44"/>
      <c r="EF163" s="44"/>
      <c r="EG163" s="44"/>
    </row>
    <row r="164" spans="1:137" ht="24.95" customHeight="1">
      <c r="A164" s="14"/>
      <c r="B164" s="57"/>
      <c r="C164" s="224" t="str">
        <f>IF(W59=TRUE,AF207,"")</f>
        <v/>
      </c>
      <c r="D164" s="224"/>
      <c r="E164" s="224"/>
      <c r="F164" s="224"/>
      <c r="G164" s="224"/>
      <c r="H164" s="224"/>
      <c r="I164" s="224"/>
      <c r="J164" s="224"/>
      <c r="K164" s="224"/>
      <c r="L164" s="224"/>
      <c r="M164" s="83"/>
      <c r="N164" s="83"/>
      <c r="O164" s="83"/>
      <c r="P164" s="44"/>
      <c r="Q164" s="87"/>
      <c r="R164" s="44"/>
      <c r="S164" s="44"/>
      <c r="V164" s="34" t="s">
        <v>60</v>
      </c>
      <c r="BU164" s="87"/>
      <c r="BV164" s="44"/>
      <c r="BW164" s="44"/>
      <c r="BX164" s="44"/>
      <c r="BY164" s="44"/>
      <c r="BZ164" s="44"/>
      <c r="CA164" s="44"/>
      <c r="CB164" s="44"/>
      <c r="CC164" s="44"/>
      <c r="CD164" s="44"/>
      <c r="CE164" s="44"/>
      <c r="CF164" s="44"/>
      <c r="CG164" s="44"/>
      <c r="CH164" s="44"/>
      <c r="CI164" s="44"/>
      <c r="CJ164" s="44"/>
      <c r="CK164" s="44"/>
      <c r="CL164" s="44"/>
      <c r="CM164" s="44"/>
      <c r="CN164" s="44"/>
      <c r="CO164" s="44"/>
      <c r="CP164" s="44"/>
      <c r="CQ164" s="44"/>
      <c r="CR164" s="44"/>
      <c r="CS164" s="44"/>
      <c r="CT164" s="44"/>
      <c r="CU164" s="44"/>
      <c r="CV164" s="44"/>
      <c r="CW164" s="44"/>
      <c r="CX164" s="44"/>
      <c r="CY164" s="44"/>
      <c r="CZ164" s="44"/>
      <c r="DA164" s="44"/>
      <c r="DB164" s="44"/>
      <c r="DC164" s="44"/>
      <c r="DD164" s="44"/>
      <c r="DE164" s="44"/>
      <c r="DF164" s="44"/>
      <c r="DG164" s="44"/>
      <c r="DH164" s="44"/>
      <c r="DI164" s="44"/>
      <c r="DJ164" s="44"/>
      <c r="DK164" s="44"/>
      <c r="DL164" s="44"/>
      <c r="DM164" s="44"/>
      <c r="DN164" s="44"/>
      <c r="DO164" s="44"/>
      <c r="DP164" s="44"/>
      <c r="DQ164" s="44"/>
      <c r="DR164" s="44"/>
      <c r="DS164" s="44"/>
      <c r="DT164" s="44"/>
      <c r="DU164" s="44"/>
      <c r="DV164" s="44"/>
      <c r="DW164" s="44"/>
      <c r="DX164" s="44"/>
      <c r="DY164" s="44"/>
      <c r="DZ164" s="44"/>
      <c r="EA164" s="44"/>
      <c r="EB164" s="44"/>
      <c r="EC164" s="44"/>
      <c r="ED164" s="44"/>
      <c r="EE164" s="44"/>
      <c r="EF164" s="44"/>
      <c r="EG164" s="44"/>
    </row>
    <row r="165" spans="1:137" ht="24.95" customHeight="1">
      <c r="A165" s="14"/>
      <c r="B165" s="44"/>
      <c r="C165" s="224"/>
      <c r="D165" s="224"/>
      <c r="E165" s="224"/>
      <c r="F165" s="224"/>
      <c r="G165" s="224"/>
      <c r="H165" s="224"/>
      <c r="I165" s="224"/>
      <c r="J165" s="224"/>
      <c r="K165" s="224"/>
      <c r="L165" s="224"/>
      <c r="M165" s="83"/>
      <c r="N165" s="83"/>
      <c r="O165" s="83"/>
      <c r="P165" s="44"/>
      <c r="Q165" s="44"/>
      <c r="R165" s="44"/>
      <c r="S165" s="44"/>
      <c r="V165" s="34" t="s">
        <v>59</v>
      </c>
      <c r="BU165" s="44"/>
      <c r="BV165" s="44"/>
      <c r="BW165" s="44"/>
      <c r="BX165" s="44"/>
      <c r="BY165" s="44"/>
      <c r="BZ165" s="44"/>
      <c r="CA165" s="44"/>
      <c r="CB165" s="44"/>
      <c r="CC165" s="44"/>
      <c r="CD165" s="44"/>
      <c r="CE165" s="44"/>
      <c r="CF165" s="44"/>
      <c r="CG165" s="44"/>
      <c r="CH165" s="44"/>
      <c r="CI165" s="44"/>
      <c r="CJ165" s="44"/>
      <c r="CK165" s="44"/>
      <c r="CL165" s="44"/>
      <c r="CM165" s="44"/>
      <c r="CN165" s="44"/>
      <c r="CO165" s="44"/>
      <c r="CP165" s="44"/>
      <c r="CQ165" s="44"/>
      <c r="CR165" s="44"/>
      <c r="CS165" s="44"/>
      <c r="CT165" s="44"/>
      <c r="CU165" s="44"/>
      <c r="CV165" s="44"/>
      <c r="CW165" s="44"/>
      <c r="CX165" s="44"/>
      <c r="CY165" s="44"/>
      <c r="CZ165" s="44"/>
      <c r="DA165" s="44"/>
      <c r="DB165" s="44"/>
      <c r="DC165" s="44"/>
      <c r="DD165" s="44"/>
      <c r="DE165" s="44"/>
      <c r="DF165" s="44"/>
      <c r="DG165" s="44"/>
      <c r="DH165" s="44"/>
      <c r="DI165" s="44"/>
      <c r="DJ165" s="44"/>
      <c r="DK165" s="44"/>
      <c r="DL165" s="44"/>
      <c r="DM165" s="44"/>
      <c r="DN165" s="44"/>
      <c r="DO165" s="44"/>
      <c r="DP165" s="44"/>
      <c r="DQ165" s="44"/>
      <c r="DR165" s="44"/>
      <c r="DS165" s="44"/>
      <c r="DT165" s="44"/>
      <c r="DU165" s="44"/>
      <c r="DV165" s="44"/>
      <c r="DW165" s="44"/>
      <c r="DX165" s="44"/>
      <c r="DY165" s="44"/>
      <c r="DZ165" s="44"/>
      <c r="EA165" s="44"/>
      <c r="EB165" s="44"/>
      <c r="EC165" s="44"/>
      <c r="ED165" s="44"/>
      <c r="EE165" s="44"/>
      <c r="EF165" s="44"/>
      <c r="EG165" s="44"/>
    </row>
    <row r="166" spans="1:137" ht="15" customHeight="1">
      <c r="A166" s="14"/>
      <c r="B166" s="44"/>
      <c r="C166" s="88"/>
      <c r="D166" s="88"/>
      <c r="E166" s="88"/>
      <c r="F166" s="88"/>
      <c r="G166" s="88"/>
      <c r="H166" s="88"/>
      <c r="I166" s="88"/>
      <c r="J166" s="88"/>
      <c r="K166" s="88"/>
      <c r="L166" s="88"/>
      <c r="M166" s="83"/>
      <c r="N166" s="83"/>
      <c r="O166" s="83"/>
      <c r="P166" s="44"/>
      <c r="Q166" s="44"/>
      <c r="R166" s="44"/>
      <c r="S166" s="44"/>
      <c r="V166" s="34" t="s">
        <v>58</v>
      </c>
      <c r="BU166" s="44"/>
      <c r="BV166" s="44"/>
      <c r="BW166" s="44"/>
      <c r="BX166" s="44"/>
      <c r="BY166" s="44"/>
      <c r="BZ166" s="44"/>
      <c r="CA166" s="44"/>
      <c r="CB166" s="44"/>
      <c r="CC166" s="44"/>
      <c r="CD166" s="44"/>
      <c r="CE166" s="44"/>
      <c r="CF166" s="44"/>
      <c r="CG166" s="44"/>
      <c r="CH166" s="44"/>
      <c r="CI166" s="44"/>
      <c r="CJ166" s="44"/>
      <c r="CK166" s="44"/>
      <c r="CL166" s="44"/>
      <c r="CM166" s="44"/>
      <c r="CN166" s="44"/>
      <c r="CO166" s="44"/>
      <c r="CP166" s="44"/>
      <c r="CQ166" s="44"/>
      <c r="CR166" s="44"/>
      <c r="CS166" s="44"/>
      <c r="CT166" s="44"/>
      <c r="CU166" s="44"/>
      <c r="CV166" s="44"/>
      <c r="CW166" s="44"/>
      <c r="CX166" s="44"/>
      <c r="CY166" s="44"/>
      <c r="CZ166" s="44"/>
      <c r="DA166" s="44"/>
      <c r="DB166" s="44"/>
      <c r="DC166" s="44"/>
      <c r="DD166" s="44"/>
      <c r="DE166" s="44"/>
      <c r="DF166" s="44"/>
      <c r="DG166" s="44"/>
      <c r="DH166" s="44"/>
      <c r="DI166" s="44"/>
      <c r="DJ166" s="44"/>
      <c r="DK166" s="44"/>
      <c r="DL166" s="44"/>
      <c r="DM166" s="44"/>
      <c r="DN166" s="44"/>
      <c r="DO166" s="44"/>
      <c r="DP166" s="44"/>
      <c r="DQ166" s="44"/>
      <c r="DR166" s="44"/>
      <c r="DS166" s="44"/>
      <c r="DT166" s="44"/>
      <c r="DU166" s="44"/>
      <c r="DV166" s="44"/>
      <c r="DW166" s="44"/>
      <c r="DX166" s="44"/>
      <c r="DY166" s="44"/>
      <c r="DZ166" s="44"/>
      <c r="EA166" s="44"/>
      <c r="EB166" s="44"/>
      <c r="EC166" s="44"/>
      <c r="ED166" s="44"/>
      <c r="EE166" s="44"/>
      <c r="EF166" s="44"/>
      <c r="EG166" s="44"/>
    </row>
    <row r="167" spans="1:137">
      <c r="A167" s="14"/>
      <c r="B167" s="44"/>
      <c r="C167" s="88"/>
      <c r="D167" s="88"/>
      <c r="E167" s="88"/>
      <c r="F167" s="88"/>
      <c r="G167" s="88"/>
      <c r="H167" s="88"/>
      <c r="I167" s="88"/>
      <c r="J167" s="88"/>
      <c r="K167" s="88"/>
      <c r="L167" s="88"/>
      <c r="M167" s="88"/>
      <c r="N167" s="88"/>
      <c r="O167" s="88"/>
      <c r="P167" s="44"/>
      <c r="Q167" s="44"/>
      <c r="R167" s="44"/>
      <c r="S167" s="44"/>
      <c r="V167" s="8"/>
      <c r="BU167" s="44"/>
      <c r="BV167" s="44"/>
      <c r="BW167" s="44"/>
      <c r="BX167" s="44"/>
      <c r="BY167" s="44"/>
      <c r="BZ167" s="44"/>
      <c r="CA167" s="44"/>
      <c r="CB167" s="44"/>
      <c r="CC167" s="44"/>
      <c r="CD167" s="44"/>
      <c r="CE167" s="44"/>
      <c r="CF167" s="44"/>
      <c r="CG167" s="44"/>
      <c r="CH167" s="44"/>
      <c r="CI167" s="44"/>
      <c r="CJ167" s="44"/>
      <c r="CK167" s="44"/>
      <c r="CL167" s="44"/>
      <c r="CM167" s="44"/>
      <c r="CN167" s="44"/>
      <c r="CO167" s="44"/>
      <c r="CP167" s="44"/>
      <c r="CQ167" s="44"/>
      <c r="CR167" s="44"/>
      <c r="CS167" s="44"/>
      <c r="CT167" s="44"/>
      <c r="CU167" s="44"/>
      <c r="CV167" s="44"/>
      <c r="CW167" s="44"/>
      <c r="CX167" s="44"/>
      <c r="CY167" s="44"/>
      <c r="CZ167" s="44"/>
      <c r="DA167" s="44"/>
      <c r="DB167" s="44"/>
      <c r="DC167" s="44"/>
      <c r="DD167" s="44"/>
      <c r="DE167" s="44"/>
      <c r="DF167" s="44"/>
      <c r="DG167" s="44"/>
      <c r="DH167" s="44"/>
      <c r="DI167" s="44"/>
      <c r="DJ167" s="44"/>
      <c r="DK167" s="44"/>
      <c r="DL167" s="44"/>
      <c r="DM167" s="44"/>
      <c r="DN167" s="44"/>
      <c r="DO167" s="44"/>
      <c r="DP167" s="44"/>
      <c r="DQ167" s="44"/>
      <c r="DR167" s="44"/>
      <c r="DS167" s="44"/>
      <c r="DT167" s="44"/>
      <c r="DU167" s="44"/>
      <c r="DV167" s="44"/>
      <c r="DW167" s="44"/>
      <c r="DX167" s="44"/>
      <c r="DY167" s="44"/>
      <c r="DZ167" s="44"/>
      <c r="EA167" s="44"/>
      <c r="EB167" s="44"/>
      <c r="EC167" s="44"/>
      <c r="ED167" s="44"/>
      <c r="EE167" s="44"/>
      <c r="EF167" s="44"/>
      <c r="EG167" s="44"/>
    </row>
    <row r="168" spans="1:137" ht="15" customHeight="1">
      <c r="A168" s="14"/>
      <c r="B168" s="44"/>
      <c r="C168" s="219" t="str">
        <f>IF($W$59=TRUE,"Handelsnavn","")</f>
        <v/>
      </c>
      <c r="D168" s="219"/>
      <c r="E168" s="219" t="str">
        <f>IF($W$59=TRUE,"Type 
(se over)","")</f>
        <v/>
      </c>
      <c r="F168" s="220" t="str">
        <f>IF($W$59=TRUE,"VOC-innhold (gram/liter, alt. bekreftelse)","")</f>
        <v/>
      </c>
      <c r="G168" s="220"/>
      <c r="H168" s="220" t="str">
        <f>IF($W$59=TRUE,"Vannbasert (VB) eller løsemiddelbasert (LB)","")</f>
        <v/>
      </c>
      <c r="I168" s="220"/>
      <c r="J168" s="218" t="str">
        <f>IF($W$59=TRUE,"VOC-emisjoner etter 3 døgn (mg/m²h el. mg/m³)","")</f>
        <v/>
      </c>
      <c r="K168" s="218"/>
      <c r="L168" s="219" t="str">
        <f>IF($W$59=TRUE,"Svanemerke/
EU-blomst","")</f>
        <v/>
      </c>
      <c r="M168" s="220"/>
      <c r="N168" s="89"/>
      <c r="O168" s="89"/>
      <c r="P168" s="220"/>
      <c r="Q168" s="220"/>
      <c r="R168" s="44"/>
      <c r="S168" s="44"/>
      <c r="V168" s="8" t="s">
        <v>22</v>
      </c>
      <c r="BU168" s="44"/>
      <c r="BV168" s="44"/>
      <c r="BW168" s="44"/>
      <c r="BX168" s="44"/>
      <c r="BY168" s="44"/>
      <c r="BZ168" s="44"/>
      <c r="CA168" s="44"/>
      <c r="CB168" s="44"/>
      <c r="CC168" s="44"/>
      <c r="CD168" s="44"/>
      <c r="CE168" s="44"/>
      <c r="CF168" s="44"/>
      <c r="CG168" s="44"/>
      <c r="CH168" s="44"/>
      <c r="CI168" s="44"/>
      <c r="CJ168" s="44"/>
      <c r="CK168" s="44"/>
      <c r="CL168" s="44"/>
      <c r="CM168" s="44"/>
      <c r="CN168" s="44"/>
      <c r="CO168" s="44"/>
      <c r="CP168" s="44"/>
      <c r="CQ168" s="44"/>
      <c r="CR168" s="44"/>
      <c r="CS168" s="44"/>
      <c r="CT168" s="44"/>
      <c r="CU168" s="44"/>
      <c r="CV168" s="44"/>
      <c r="CW168" s="44"/>
      <c r="CX168" s="44"/>
      <c r="CY168" s="44"/>
      <c r="CZ168" s="44"/>
      <c r="DA168" s="44"/>
      <c r="DB168" s="44"/>
      <c r="DC168" s="44"/>
      <c r="DD168" s="44"/>
      <c r="DE168" s="44"/>
      <c r="DF168" s="44"/>
      <c r="DG168" s="44"/>
      <c r="DH168" s="44"/>
      <c r="DI168" s="44"/>
      <c r="DJ168" s="44"/>
      <c r="DK168" s="44"/>
      <c r="DL168" s="44"/>
      <c r="DM168" s="44"/>
      <c r="DN168" s="44"/>
      <c r="DO168" s="44"/>
      <c r="DP168" s="44"/>
      <c r="DQ168" s="44"/>
      <c r="DR168" s="44"/>
      <c r="DS168" s="44"/>
      <c r="DT168" s="44"/>
      <c r="DU168" s="44"/>
      <c r="DV168" s="44"/>
      <c r="DW168" s="44"/>
      <c r="DX168" s="44"/>
      <c r="DY168" s="44"/>
      <c r="DZ168" s="44"/>
      <c r="EA168" s="44"/>
      <c r="EB168" s="44"/>
      <c r="EC168" s="44"/>
      <c r="ED168" s="44"/>
      <c r="EE168" s="44"/>
      <c r="EF168" s="44"/>
      <c r="EG168" s="44"/>
    </row>
    <row r="169" spans="1:137">
      <c r="A169" s="14"/>
      <c r="B169" s="44"/>
      <c r="C169" s="219"/>
      <c r="D169" s="219"/>
      <c r="E169" s="219"/>
      <c r="F169" s="90" t="str">
        <f>IF($W$59=TRUE,"gram pr. liter","")</f>
        <v/>
      </c>
      <c r="G169" s="90" t="str">
        <f>IF($W$59=TRUE,"Bekreftelse fra produsent","")</f>
        <v/>
      </c>
      <c r="H169" s="220"/>
      <c r="I169" s="220"/>
      <c r="J169" s="218"/>
      <c r="K169" s="218"/>
      <c r="L169" s="219"/>
      <c r="M169" s="220"/>
      <c r="N169" s="89"/>
      <c r="O169" s="89"/>
      <c r="P169" s="220"/>
      <c r="Q169" s="220"/>
      <c r="R169" s="44"/>
      <c r="S169" s="44"/>
      <c r="V169" s="8" t="s">
        <v>23</v>
      </c>
      <c r="BU169" s="44"/>
      <c r="BV169" s="44"/>
      <c r="BW169" s="44"/>
      <c r="BX169" s="44"/>
      <c r="BY169" s="44"/>
      <c r="BZ169" s="44"/>
      <c r="CA169" s="44"/>
      <c r="CB169" s="44"/>
      <c r="CC169" s="44"/>
      <c r="CD169" s="44"/>
      <c r="CE169" s="44"/>
      <c r="CF169" s="44"/>
      <c r="CG169" s="44"/>
      <c r="CH169" s="44"/>
      <c r="CI169" s="44"/>
      <c r="CJ169" s="44"/>
      <c r="CK169" s="44"/>
      <c r="CL169" s="44"/>
      <c r="CM169" s="44"/>
      <c r="CN169" s="44"/>
      <c r="CO169" s="44"/>
      <c r="CP169" s="44"/>
      <c r="CQ169" s="44"/>
      <c r="CR169" s="44"/>
      <c r="CS169" s="44"/>
      <c r="CT169" s="44"/>
      <c r="CU169" s="44"/>
      <c r="CV169" s="44"/>
      <c r="CW169" s="44"/>
      <c r="CX169" s="44"/>
      <c r="CY169" s="44"/>
      <c r="CZ169" s="44"/>
      <c r="DA169" s="44"/>
      <c r="DB169" s="44"/>
      <c r="DC169" s="44"/>
      <c r="DD169" s="44"/>
      <c r="DE169" s="44"/>
      <c r="DF169" s="44"/>
      <c r="DG169" s="44"/>
      <c r="DH169" s="44"/>
      <c r="DI169" s="44"/>
      <c r="DJ169" s="44"/>
      <c r="DK169" s="44"/>
      <c r="DL169" s="44"/>
      <c r="DM169" s="44"/>
      <c r="DN169" s="44"/>
      <c r="DO169" s="44"/>
      <c r="DP169" s="44"/>
      <c r="DQ169" s="44"/>
      <c r="DR169" s="44"/>
      <c r="DS169" s="44"/>
      <c r="DT169" s="44"/>
      <c r="DU169" s="44"/>
      <c r="DV169" s="44"/>
      <c r="DW169" s="44"/>
      <c r="DX169" s="44"/>
      <c r="DY169" s="44"/>
      <c r="DZ169" s="44"/>
      <c r="EA169" s="44"/>
      <c r="EB169" s="44"/>
      <c r="EC169" s="44"/>
      <c r="ED169" s="44"/>
      <c r="EE169" s="44"/>
      <c r="EF169" s="44"/>
      <c r="EG169" s="44"/>
    </row>
    <row r="170" spans="1:137" ht="15" customHeight="1">
      <c r="A170" s="14"/>
      <c r="B170" s="44"/>
      <c r="C170" s="170"/>
      <c r="D170" s="170"/>
      <c r="E170" s="73"/>
      <c r="F170" s="73"/>
      <c r="G170" s="74"/>
      <c r="H170" s="201"/>
      <c r="I170" s="201"/>
      <c r="J170" s="56"/>
      <c r="K170" s="56"/>
      <c r="L170" s="73"/>
      <c r="M170" s="91"/>
      <c r="N170" s="89"/>
      <c r="O170" s="89"/>
      <c r="P170" s="89"/>
      <c r="Q170" s="91"/>
      <c r="R170" s="44"/>
      <c r="S170" s="44"/>
      <c r="U170" s="3" t="b">
        <f t="shared" ref="U170:U179" si="5">IF(E170="a",TRUE,IF(E170="b",TRUE,FALSE))</f>
        <v>0</v>
      </c>
      <c r="V170" s="8" t="s">
        <v>24</v>
      </c>
      <c r="BU170" s="44"/>
      <c r="BV170" s="44"/>
      <c r="BW170" s="44"/>
      <c r="BX170" s="44"/>
      <c r="BY170" s="44"/>
      <c r="BZ170" s="44"/>
      <c r="CA170" s="44"/>
      <c r="CB170" s="44"/>
      <c r="CC170" s="44"/>
      <c r="CD170" s="44"/>
      <c r="CE170" s="44"/>
      <c r="CF170" s="44"/>
      <c r="CG170" s="44"/>
      <c r="CH170" s="44"/>
      <c r="CI170" s="44"/>
      <c r="CJ170" s="44"/>
      <c r="CK170" s="44"/>
      <c r="CL170" s="44"/>
      <c r="CM170" s="44"/>
      <c r="CN170" s="44"/>
      <c r="CO170" s="44"/>
      <c r="CP170" s="44"/>
      <c r="CQ170" s="44"/>
      <c r="CR170" s="44"/>
      <c r="CS170" s="44"/>
      <c r="CT170" s="44"/>
      <c r="CU170" s="44"/>
      <c r="CV170" s="44"/>
      <c r="CW170" s="44"/>
      <c r="CX170" s="44"/>
      <c r="CY170" s="44"/>
      <c r="CZ170" s="44"/>
      <c r="DA170" s="44"/>
      <c r="DB170" s="44"/>
      <c r="DC170" s="44"/>
      <c r="DD170" s="44"/>
      <c r="DE170" s="44"/>
      <c r="DF170" s="44"/>
      <c r="DG170" s="44"/>
      <c r="DH170" s="44"/>
      <c r="DI170" s="44"/>
      <c r="DJ170" s="44"/>
      <c r="DK170" s="44"/>
      <c r="DL170" s="44"/>
      <c r="DM170" s="44"/>
      <c r="DN170" s="44"/>
      <c r="DO170" s="44"/>
      <c r="DP170" s="44"/>
      <c r="DQ170" s="44"/>
      <c r="DR170" s="44"/>
      <c r="DS170" s="44"/>
      <c r="DT170" s="44"/>
      <c r="DU170" s="44"/>
      <c r="DV170" s="44"/>
      <c r="DW170" s="44"/>
      <c r="DX170" s="44"/>
      <c r="DY170" s="44"/>
      <c r="DZ170" s="44"/>
      <c r="EA170" s="44"/>
      <c r="EB170" s="44"/>
      <c r="EC170" s="44"/>
      <c r="ED170" s="44"/>
      <c r="EE170" s="44"/>
      <c r="EF170" s="44"/>
      <c r="EG170" s="44"/>
    </row>
    <row r="171" spans="1:137" ht="15" customHeight="1">
      <c r="A171" s="14"/>
      <c r="B171" s="44"/>
      <c r="C171" s="170"/>
      <c r="D171" s="170"/>
      <c r="E171" s="73"/>
      <c r="F171" s="73"/>
      <c r="G171" s="74"/>
      <c r="H171" s="201"/>
      <c r="I171" s="201"/>
      <c r="J171" s="56"/>
      <c r="K171" s="56"/>
      <c r="L171" s="73"/>
      <c r="M171" s="91"/>
      <c r="N171" s="89"/>
      <c r="O171" s="89"/>
      <c r="P171" s="89"/>
      <c r="Q171" s="44"/>
      <c r="R171" s="44"/>
      <c r="S171" s="44"/>
      <c r="U171" s="3" t="b">
        <f t="shared" si="5"/>
        <v>0</v>
      </c>
      <c r="BU171" s="44"/>
      <c r="BV171" s="44"/>
      <c r="BW171" s="44"/>
      <c r="BX171" s="44"/>
      <c r="BY171" s="44"/>
      <c r="BZ171" s="44"/>
      <c r="CA171" s="44"/>
      <c r="CB171" s="44"/>
      <c r="CC171" s="44"/>
      <c r="CD171" s="44"/>
      <c r="CE171" s="44"/>
      <c r="CF171" s="44"/>
      <c r="CG171" s="44"/>
      <c r="CH171" s="44"/>
      <c r="CI171" s="44"/>
      <c r="CJ171" s="44"/>
      <c r="CK171" s="44"/>
      <c r="CL171" s="44"/>
      <c r="CM171" s="44"/>
      <c r="CN171" s="44"/>
      <c r="CO171" s="44"/>
      <c r="CP171" s="44"/>
      <c r="CQ171" s="44"/>
      <c r="CR171" s="44"/>
      <c r="CS171" s="44"/>
      <c r="CT171" s="44"/>
      <c r="CU171" s="44"/>
      <c r="CV171" s="44"/>
      <c r="CW171" s="44"/>
      <c r="CX171" s="44"/>
      <c r="CY171" s="44"/>
      <c r="CZ171" s="44"/>
      <c r="DA171" s="44"/>
      <c r="DB171" s="44"/>
      <c r="DC171" s="44"/>
      <c r="DD171" s="44"/>
      <c r="DE171" s="44"/>
      <c r="DF171" s="44"/>
      <c r="DG171" s="44"/>
      <c r="DH171" s="44"/>
      <c r="DI171" s="44"/>
      <c r="DJ171" s="44"/>
      <c r="DK171" s="44"/>
      <c r="DL171" s="44"/>
      <c r="DM171" s="44"/>
      <c r="DN171" s="44"/>
      <c r="DO171" s="44"/>
      <c r="DP171" s="44"/>
      <c r="DQ171" s="44"/>
      <c r="DR171" s="44"/>
      <c r="DS171" s="44"/>
      <c r="DT171" s="44"/>
      <c r="DU171" s="44"/>
      <c r="DV171" s="44"/>
      <c r="DW171" s="44"/>
      <c r="DX171" s="44"/>
      <c r="DY171" s="44"/>
      <c r="DZ171" s="44"/>
      <c r="EA171" s="44"/>
      <c r="EB171" s="44"/>
      <c r="EC171" s="44"/>
      <c r="ED171" s="44"/>
      <c r="EE171" s="44"/>
      <c r="EF171" s="44"/>
      <c r="EG171" s="44"/>
    </row>
    <row r="172" spans="1:137" ht="15" customHeight="1">
      <c r="A172" s="14"/>
      <c r="B172" s="44"/>
      <c r="C172" s="170"/>
      <c r="D172" s="170"/>
      <c r="E172" s="73"/>
      <c r="F172" s="73"/>
      <c r="G172" s="74"/>
      <c r="H172" s="201"/>
      <c r="I172" s="201"/>
      <c r="J172" s="56"/>
      <c r="K172" s="56"/>
      <c r="L172" s="73"/>
      <c r="M172" s="91"/>
      <c r="N172" s="89"/>
      <c r="O172" s="89"/>
      <c r="P172" s="89"/>
      <c r="Q172" s="44"/>
      <c r="R172" s="44"/>
      <c r="S172" s="44"/>
      <c r="U172" s="3" t="b">
        <f t="shared" si="5"/>
        <v>0</v>
      </c>
      <c r="Y172" s="24"/>
      <c r="Z172" s="5"/>
      <c r="AA172" s="5"/>
      <c r="AC172" s="5"/>
      <c r="BU172" s="44"/>
      <c r="BV172" s="44"/>
      <c r="BW172" s="44"/>
      <c r="BX172" s="44"/>
      <c r="BY172" s="44"/>
      <c r="BZ172" s="44"/>
      <c r="CA172" s="44"/>
      <c r="CB172" s="44"/>
      <c r="CC172" s="44"/>
      <c r="CD172" s="44"/>
      <c r="CE172" s="44"/>
      <c r="CF172" s="44"/>
      <c r="CG172" s="44"/>
      <c r="CH172" s="44"/>
      <c r="CI172" s="44"/>
      <c r="CJ172" s="44"/>
      <c r="CK172" s="44"/>
      <c r="CL172" s="44"/>
      <c r="CM172" s="44"/>
      <c r="CN172" s="44"/>
      <c r="CO172" s="44"/>
      <c r="CP172" s="44"/>
      <c r="CQ172" s="44"/>
      <c r="CR172" s="44"/>
      <c r="CS172" s="44"/>
      <c r="CT172" s="44"/>
      <c r="CU172" s="44"/>
      <c r="CV172" s="44"/>
      <c r="CW172" s="44"/>
      <c r="CX172" s="44"/>
      <c r="CY172" s="44"/>
      <c r="CZ172" s="44"/>
      <c r="DA172" s="44"/>
      <c r="DB172" s="44"/>
      <c r="DC172" s="44"/>
      <c r="DD172" s="44"/>
      <c r="DE172" s="44"/>
      <c r="DF172" s="44"/>
      <c r="DG172" s="44"/>
      <c r="DH172" s="44"/>
      <c r="DI172" s="44"/>
      <c r="DJ172" s="44"/>
      <c r="DK172" s="44"/>
      <c r="DL172" s="44"/>
      <c r="DM172" s="44"/>
      <c r="DN172" s="44"/>
      <c r="DO172" s="44"/>
      <c r="DP172" s="44"/>
      <c r="DQ172" s="44"/>
      <c r="DR172" s="44"/>
      <c r="DS172" s="44"/>
      <c r="DT172" s="44"/>
      <c r="DU172" s="44"/>
      <c r="DV172" s="44"/>
      <c r="DW172" s="44"/>
      <c r="DX172" s="44"/>
      <c r="DY172" s="44"/>
      <c r="DZ172" s="44"/>
      <c r="EA172" s="44"/>
      <c r="EB172" s="44"/>
      <c r="EC172" s="44"/>
      <c r="ED172" s="44"/>
      <c r="EE172" s="44"/>
      <c r="EF172" s="44"/>
      <c r="EG172" s="44"/>
    </row>
    <row r="173" spans="1:137">
      <c r="A173" s="14"/>
      <c r="B173" s="44"/>
      <c r="C173" s="170"/>
      <c r="D173" s="170"/>
      <c r="E173" s="73"/>
      <c r="F173" s="73"/>
      <c r="G173" s="74"/>
      <c r="H173" s="201"/>
      <c r="I173" s="201"/>
      <c r="J173" s="56"/>
      <c r="K173" s="56"/>
      <c r="L173" s="73"/>
      <c r="M173" s="91"/>
      <c r="N173" s="89"/>
      <c r="O173" s="89"/>
      <c r="P173" s="89"/>
      <c r="Q173" s="44"/>
      <c r="R173" s="44"/>
      <c r="S173" s="44"/>
      <c r="U173" s="3" t="b">
        <f t="shared" si="5"/>
        <v>0</v>
      </c>
      <c r="Y173" s="24"/>
      <c r="Z173" s="5"/>
      <c r="AA173" s="5"/>
      <c r="AC173" s="5"/>
      <c r="BU173" s="44"/>
      <c r="BV173" s="44"/>
      <c r="BW173" s="44"/>
      <c r="BX173" s="44"/>
      <c r="BY173" s="44"/>
      <c r="BZ173" s="44"/>
      <c r="CA173" s="44"/>
      <c r="CB173" s="44"/>
      <c r="CC173" s="44"/>
      <c r="CD173" s="44"/>
      <c r="CE173" s="44"/>
      <c r="CF173" s="44"/>
      <c r="CG173" s="44"/>
      <c r="CH173" s="44"/>
      <c r="CI173" s="44"/>
      <c r="CJ173" s="44"/>
      <c r="CK173" s="44"/>
      <c r="CL173" s="44"/>
      <c r="CM173" s="44"/>
      <c r="CN173" s="44"/>
      <c r="CO173" s="44"/>
      <c r="CP173" s="44"/>
      <c r="CQ173" s="44"/>
      <c r="CR173" s="44"/>
      <c r="CS173" s="44"/>
      <c r="CT173" s="44"/>
      <c r="CU173" s="44"/>
      <c r="CV173" s="44"/>
      <c r="CW173" s="44"/>
      <c r="CX173" s="44"/>
      <c r="CY173" s="44"/>
      <c r="CZ173" s="44"/>
      <c r="DA173" s="44"/>
      <c r="DB173" s="44"/>
      <c r="DC173" s="44"/>
      <c r="DD173" s="44"/>
      <c r="DE173" s="44"/>
      <c r="DF173" s="44"/>
      <c r="DG173" s="44"/>
      <c r="DH173" s="44"/>
      <c r="DI173" s="44"/>
      <c r="DJ173" s="44"/>
      <c r="DK173" s="44"/>
      <c r="DL173" s="44"/>
      <c r="DM173" s="44"/>
      <c r="DN173" s="44"/>
      <c r="DO173" s="44"/>
      <c r="DP173" s="44"/>
      <c r="DQ173" s="44"/>
      <c r="DR173" s="44"/>
      <c r="DS173" s="44"/>
      <c r="DT173" s="44"/>
      <c r="DU173" s="44"/>
      <c r="DV173" s="44"/>
      <c r="DW173" s="44"/>
      <c r="DX173" s="44"/>
      <c r="DY173" s="44"/>
      <c r="DZ173" s="44"/>
      <c r="EA173" s="44"/>
      <c r="EB173" s="44"/>
      <c r="EC173" s="44"/>
      <c r="ED173" s="44"/>
      <c r="EE173" s="44"/>
      <c r="EF173" s="44"/>
      <c r="EG173" s="44"/>
    </row>
    <row r="174" spans="1:137" ht="15" customHeight="1">
      <c r="A174" s="14"/>
      <c r="B174" s="44"/>
      <c r="C174" s="170"/>
      <c r="D174" s="170"/>
      <c r="E174" s="73"/>
      <c r="F174" s="73"/>
      <c r="G174" s="74"/>
      <c r="H174" s="201"/>
      <c r="I174" s="201"/>
      <c r="J174" s="56"/>
      <c r="K174" s="56"/>
      <c r="L174" s="73"/>
      <c r="M174" s="91"/>
      <c r="N174" s="89"/>
      <c r="O174" s="89"/>
      <c r="P174" s="89"/>
      <c r="Q174" s="44"/>
      <c r="R174" s="44"/>
      <c r="S174" s="44"/>
      <c r="U174" s="3" t="b">
        <f t="shared" si="5"/>
        <v>0</v>
      </c>
      <c r="V174" s="8" t="s">
        <v>35</v>
      </c>
      <c r="W174" s="3" t="s">
        <v>42</v>
      </c>
      <c r="Y174" s="24"/>
      <c r="Z174" s="5"/>
      <c r="AA174" s="5"/>
      <c r="AC174" s="5"/>
      <c r="BU174" s="44"/>
      <c r="BV174" s="44"/>
      <c r="BW174" s="44"/>
      <c r="BX174" s="44"/>
      <c r="BY174" s="44"/>
      <c r="BZ174" s="44"/>
      <c r="CA174" s="44"/>
      <c r="CB174" s="44"/>
      <c r="CC174" s="44"/>
      <c r="CD174" s="44"/>
      <c r="CE174" s="44"/>
      <c r="CF174" s="44"/>
      <c r="CG174" s="44"/>
      <c r="CH174" s="44"/>
      <c r="CI174" s="44"/>
      <c r="CJ174" s="44"/>
      <c r="CK174" s="44"/>
      <c r="CL174" s="44"/>
      <c r="CM174" s="44"/>
      <c r="CN174" s="44"/>
      <c r="CO174" s="44"/>
      <c r="CP174" s="44"/>
      <c r="CQ174" s="44"/>
      <c r="CR174" s="44"/>
      <c r="CS174" s="44"/>
      <c r="CT174" s="44"/>
      <c r="CU174" s="44"/>
      <c r="CV174" s="44"/>
      <c r="CW174" s="44"/>
      <c r="CX174" s="44"/>
      <c r="CY174" s="44"/>
      <c r="CZ174" s="44"/>
      <c r="DA174" s="44"/>
      <c r="DB174" s="44"/>
      <c r="DC174" s="44"/>
      <c r="DD174" s="44"/>
      <c r="DE174" s="44"/>
      <c r="DF174" s="44"/>
      <c r="DG174" s="44"/>
      <c r="DH174" s="44"/>
      <c r="DI174" s="44"/>
      <c r="DJ174" s="44"/>
      <c r="DK174" s="44"/>
      <c r="DL174" s="44"/>
      <c r="DM174" s="44"/>
      <c r="DN174" s="44"/>
      <c r="DO174" s="44"/>
      <c r="DP174" s="44"/>
      <c r="DQ174" s="44"/>
      <c r="DR174" s="44"/>
      <c r="DS174" s="44"/>
      <c r="DT174" s="44"/>
      <c r="DU174" s="44"/>
      <c r="DV174" s="44"/>
      <c r="DW174" s="44"/>
      <c r="DX174" s="44"/>
      <c r="DY174" s="44"/>
      <c r="DZ174" s="44"/>
      <c r="EA174" s="44"/>
      <c r="EB174" s="44"/>
      <c r="EC174" s="44"/>
      <c r="ED174" s="44"/>
      <c r="EE174" s="44"/>
      <c r="EF174" s="44"/>
      <c r="EG174" s="44"/>
    </row>
    <row r="175" spans="1:137">
      <c r="A175" s="14"/>
      <c r="B175" s="44"/>
      <c r="C175" s="170"/>
      <c r="D175" s="170"/>
      <c r="E175" s="73"/>
      <c r="F175" s="73"/>
      <c r="G175" s="74"/>
      <c r="H175" s="201"/>
      <c r="I175" s="201"/>
      <c r="J175" s="56"/>
      <c r="K175" s="56"/>
      <c r="L175" s="73"/>
      <c r="M175" s="91"/>
      <c r="N175" s="89"/>
      <c r="O175" s="89"/>
      <c r="P175" s="89"/>
      <c r="Q175" s="44"/>
      <c r="R175" s="44"/>
      <c r="S175" s="44"/>
      <c r="U175" s="3" t="b">
        <f t="shared" si="5"/>
        <v>0</v>
      </c>
      <c r="V175" s="8" t="s">
        <v>34</v>
      </c>
      <c r="W175" s="3" t="s">
        <v>43</v>
      </c>
      <c r="BU175" s="44"/>
      <c r="BV175" s="44"/>
      <c r="BW175" s="44"/>
      <c r="BX175" s="44"/>
      <c r="BY175" s="44"/>
      <c r="BZ175" s="44"/>
      <c r="CA175" s="44"/>
      <c r="CB175" s="44"/>
      <c r="CC175" s="44"/>
      <c r="CD175" s="44"/>
      <c r="CE175" s="44"/>
      <c r="CF175" s="44"/>
      <c r="CG175" s="44"/>
      <c r="CH175" s="44"/>
      <c r="CI175" s="44"/>
      <c r="CJ175" s="44"/>
      <c r="CK175" s="44"/>
      <c r="CL175" s="44"/>
      <c r="CM175" s="44"/>
      <c r="CN175" s="44"/>
      <c r="CO175" s="44"/>
      <c r="CP175" s="44"/>
      <c r="CQ175" s="44"/>
      <c r="CR175" s="44"/>
      <c r="CS175" s="44"/>
      <c r="CT175" s="44"/>
      <c r="CU175" s="44"/>
      <c r="CV175" s="44"/>
      <c r="CW175" s="44"/>
      <c r="CX175" s="44"/>
      <c r="CY175" s="44"/>
      <c r="CZ175" s="44"/>
      <c r="DA175" s="44"/>
      <c r="DB175" s="44"/>
      <c r="DC175" s="44"/>
      <c r="DD175" s="44"/>
      <c r="DE175" s="44"/>
      <c r="DF175" s="44"/>
      <c r="DG175" s="44"/>
      <c r="DH175" s="44"/>
      <c r="DI175" s="44"/>
      <c r="DJ175" s="44"/>
      <c r="DK175" s="44"/>
      <c r="DL175" s="44"/>
      <c r="DM175" s="44"/>
      <c r="DN175" s="44"/>
      <c r="DO175" s="44"/>
      <c r="DP175" s="44"/>
      <c r="DQ175" s="44"/>
      <c r="DR175" s="44"/>
      <c r="DS175" s="44"/>
      <c r="DT175" s="44"/>
      <c r="DU175" s="44"/>
      <c r="DV175" s="44"/>
      <c r="DW175" s="44"/>
      <c r="DX175" s="44"/>
      <c r="DY175" s="44"/>
      <c r="DZ175" s="44"/>
      <c r="EA175" s="44"/>
      <c r="EB175" s="44"/>
      <c r="EC175" s="44"/>
      <c r="ED175" s="44"/>
      <c r="EE175" s="44"/>
      <c r="EF175" s="44"/>
      <c r="EG175" s="44"/>
    </row>
    <row r="176" spans="1:137">
      <c r="A176" s="14"/>
      <c r="B176" s="44"/>
      <c r="C176" s="170"/>
      <c r="D176" s="170"/>
      <c r="E176" s="73"/>
      <c r="F176" s="73"/>
      <c r="G176" s="74"/>
      <c r="H176" s="201"/>
      <c r="I176" s="201"/>
      <c r="J176" s="56"/>
      <c r="K176" s="56"/>
      <c r="L176" s="73"/>
      <c r="M176" s="91"/>
      <c r="N176" s="89"/>
      <c r="O176" s="89"/>
      <c r="P176" s="89"/>
      <c r="Q176" s="44"/>
      <c r="R176" s="44"/>
      <c r="S176" s="44"/>
      <c r="U176" s="3" t="b">
        <f t="shared" si="5"/>
        <v>0</v>
      </c>
      <c r="V176" s="3" t="s">
        <v>79</v>
      </c>
      <c r="Z176" s="3" t="s">
        <v>66</v>
      </c>
      <c r="AF176" s="30" t="str">
        <f>IF(W59=TRUE,"a) Matt innendørs vegg- og takmaling (glansgrad ≤ 25 @ 60°)","")</f>
        <v/>
      </c>
      <c r="AO176" s="3" t="s">
        <v>3</v>
      </c>
      <c r="BU176" s="44"/>
      <c r="BV176" s="44"/>
      <c r="BW176" s="44"/>
      <c r="BX176" s="44"/>
      <c r="BY176" s="44"/>
      <c r="BZ176" s="44"/>
      <c r="CA176" s="44"/>
      <c r="CB176" s="44"/>
      <c r="CC176" s="44"/>
      <c r="CD176" s="44"/>
      <c r="CE176" s="44"/>
      <c r="CF176" s="44"/>
      <c r="CG176" s="44"/>
      <c r="CH176" s="44"/>
      <c r="CI176" s="44"/>
      <c r="CJ176" s="44"/>
      <c r="CK176" s="44"/>
      <c r="CL176" s="44"/>
      <c r="CM176" s="44"/>
      <c r="CN176" s="44"/>
      <c r="CO176" s="44"/>
      <c r="CP176" s="44"/>
      <c r="CQ176" s="44"/>
      <c r="CR176" s="44"/>
      <c r="CS176" s="44"/>
      <c r="CT176" s="44"/>
      <c r="CU176" s="44"/>
      <c r="CV176" s="44"/>
      <c r="CW176" s="44"/>
      <c r="CX176" s="44"/>
      <c r="CY176" s="44"/>
      <c r="CZ176" s="44"/>
      <c r="DA176" s="44"/>
      <c r="DB176" s="44"/>
      <c r="DC176" s="44"/>
      <c r="DD176" s="44"/>
      <c r="DE176" s="44"/>
      <c r="DF176" s="44"/>
      <c r="DG176" s="44"/>
      <c r="DH176" s="44"/>
      <c r="DI176" s="44"/>
      <c r="DJ176" s="44"/>
      <c r="DK176" s="44"/>
      <c r="DL176" s="44"/>
      <c r="DM176" s="44"/>
      <c r="DN176" s="44"/>
      <c r="DO176" s="44"/>
      <c r="DP176" s="44"/>
      <c r="DQ176" s="44"/>
      <c r="DR176" s="44"/>
      <c r="DS176" s="44"/>
      <c r="DT176" s="44"/>
      <c r="DU176" s="44"/>
      <c r="DV176" s="44"/>
      <c r="DW176" s="44"/>
      <c r="DX176" s="44"/>
      <c r="DY176" s="44"/>
      <c r="DZ176" s="44"/>
      <c r="EA176" s="44"/>
      <c r="EB176" s="44"/>
      <c r="EC176" s="44"/>
      <c r="ED176" s="44"/>
      <c r="EE176" s="44"/>
      <c r="EF176" s="44"/>
      <c r="EG176" s="44"/>
    </row>
    <row r="177" spans="1:137">
      <c r="A177" s="14"/>
      <c r="B177" s="44"/>
      <c r="C177" s="170"/>
      <c r="D177" s="170"/>
      <c r="E177" s="73"/>
      <c r="F177" s="73"/>
      <c r="G177" s="74"/>
      <c r="H177" s="201"/>
      <c r="I177" s="201"/>
      <c r="J177" s="56"/>
      <c r="K177" s="56"/>
      <c r="L177" s="73"/>
      <c r="M177" s="91"/>
      <c r="N177" s="89"/>
      <c r="O177" s="89"/>
      <c r="P177" s="89"/>
      <c r="Q177" s="44"/>
      <c r="R177" s="44"/>
      <c r="S177" s="44"/>
      <c r="U177" s="3" t="b">
        <f t="shared" si="5"/>
        <v>0</v>
      </c>
      <c r="V177" s="3" t="s">
        <v>80</v>
      </c>
      <c r="W177" s="8" t="s">
        <v>63</v>
      </c>
      <c r="Z177" s="3" t="s">
        <v>78</v>
      </c>
      <c r="AF177" s="30" t="str">
        <f>IF(W59=TRUE,"b) Blank innendørs vegg- og takmaling (glansgrad &gt; 25 @ 60°)","")</f>
        <v/>
      </c>
      <c r="AO177" s="3" t="s">
        <v>21</v>
      </c>
      <c r="BU177" s="44"/>
      <c r="BV177" s="44"/>
      <c r="BW177" s="44"/>
      <c r="BX177" s="44"/>
      <c r="BY177" s="44"/>
      <c r="BZ177" s="44"/>
      <c r="CA177" s="44"/>
      <c r="CB177" s="44"/>
      <c r="CC177" s="44"/>
      <c r="CD177" s="44"/>
      <c r="CE177" s="44"/>
      <c r="CF177" s="44"/>
      <c r="CG177" s="44"/>
      <c r="CH177" s="44"/>
      <c r="CI177" s="44"/>
      <c r="CJ177" s="44"/>
      <c r="CK177" s="44"/>
      <c r="CL177" s="44"/>
      <c r="CM177" s="44"/>
      <c r="CN177" s="44"/>
      <c r="CO177" s="44"/>
      <c r="CP177" s="44"/>
      <c r="CQ177" s="44"/>
      <c r="CR177" s="44"/>
      <c r="CS177" s="44"/>
      <c r="CT177" s="44"/>
      <c r="CU177" s="44"/>
      <c r="CV177" s="44"/>
      <c r="CW177" s="44"/>
      <c r="CX177" s="44"/>
      <c r="CY177" s="44"/>
      <c r="CZ177" s="44"/>
      <c r="DA177" s="44"/>
      <c r="DB177" s="44"/>
      <c r="DC177" s="44"/>
      <c r="DD177" s="44"/>
      <c r="DE177" s="44"/>
      <c r="DF177" s="44"/>
      <c r="DG177" s="44"/>
      <c r="DH177" s="44"/>
      <c r="DI177" s="44"/>
      <c r="DJ177" s="44"/>
      <c r="DK177" s="44"/>
      <c r="DL177" s="44"/>
      <c r="DM177" s="44"/>
      <c r="DN177" s="44"/>
      <c r="DO177" s="44"/>
      <c r="DP177" s="44"/>
      <c r="DQ177" s="44"/>
      <c r="DR177" s="44"/>
      <c r="DS177" s="44"/>
      <c r="DT177" s="44"/>
      <c r="DU177" s="44"/>
      <c r="DV177" s="44"/>
      <c r="DW177" s="44"/>
      <c r="DX177" s="44"/>
      <c r="DY177" s="44"/>
      <c r="DZ177" s="44"/>
      <c r="EA177" s="44"/>
      <c r="EB177" s="44"/>
      <c r="EC177" s="44"/>
      <c r="ED177" s="44"/>
      <c r="EE177" s="44"/>
      <c r="EF177" s="44"/>
      <c r="EG177" s="44"/>
    </row>
    <row r="178" spans="1:137">
      <c r="A178" s="14"/>
      <c r="B178" s="44"/>
      <c r="C178" s="170"/>
      <c r="D178" s="170"/>
      <c r="E178" s="73"/>
      <c r="F178" s="73"/>
      <c r="G178" s="74"/>
      <c r="H178" s="201"/>
      <c r="I178" s="201"/>
      <c r="J178" s="56"/>
      <c r="K178" s="56"/>
      <c r="L178" s="73"/>
      <c r="M178" s="91"/>
      <c r="N178" s="89"/>
      <c r="O178" s="89"/>
      <c r="P178" s="89"/>
      <c r="Q178" s="44"/>
      <c r="R178" s="44"/>
      <c r="S178" s="44"/>
      <c r="U178" s="3" t="b">
        <f t="shared" si="5"/>
        <v>0</v>
      </c>
      <c r="V178" s="3" t="s">
        <v>36</v>
      </c>
      <c r="W178" s="3" t="b">
        <f>IF(G170="",TRUE,FALSE)</f>
        <v>1</v>
      </c>
      <c r="X178" s="3" t="b">
        <f t="shared" ref="X178:X187" si="6">IF(F170="",TRUE,FALSE)</f>
        <v>1</v>
      </c>
      <c r="Y178" s="3" t="b">
        <f>AND(W178,X178)</f>
        <v>1</v>
      </c>
      <c r="Z178" s="12" t="str">
        <f t="shared" ref="Z178:Z187" si="7">IF(Y178=TRUE,"",IF(W178=FALSE,$Z$177,F170&amp;" "&amp;$Z$176))</f>
        <v/>
      </c>
      <c r="AA178" s="12"/>
      <c r="AC178" s="4" t="b">
        <f>IF(E170="",TRUE,IF(E170="a",TRUE,IF(E170="b",TRUE,FALSE)))</f>
        <v>1</v>
      </c>
      <c r="AD178" s="12" t="str">
        <f>IF(H170="Løsemiddelbasert","Løsemiddelbasert",IF(H170="Vannbasert","Vannbasert",""))</f>
        <v/>
      </c>
      <c r="AF178" s="30" t="str">
        <f>IF(W59=TRUE,"c) Utendørs maling for mineralske flater","")</f>
        <v/>
      </c>
      <c r="AO178" s="3" t="s">
        <v>4</v>
      </c>
      <c r="BU178" s="44"/>
      <c r="BV178" s="44"/>
      <c r="BW178" s="44"/>
      <c r="BX178" s="44"/>
      <c r="BY178" s="44"/>
      <c r="BZ178" s="44"/>
      <c r="CA178" s="44"/>
      <c r="CB178" s="44"/>
      <c r="CC178" s="44"/>
      <c r="CD178" s="44"/>
      <c r="CE178" s="44"/>
      <c r="CF178" s="44"/>
      <c r="CG178" s="44"/>
      <c r="CH178" s="44"/>
      <c r="CI178" s="44"/>
      <c r="CJ178" s="44"/>
      <c r="CK178" s="44"/>
      <c r="CL178" s="44"/>
      <c r="CM178" s="44"/>
      <c r="CN178" s="44"/>
      <c r="CO178" s="44"/>
      <c r="CP178" s="44"/>
      <c r="CQ178" s="44"/>
      <c r="CR178" s="44"/>
      <c r="CS178" s="44"/>
      <c r="CT178" s="44"/>
      <c r="CU178" s="44"/>
      <c r="CV178" s="44"/>
      <c r="CW178" s="44"/>
      <c r="CX178" s="44"/>
      <c r="CY178" s="44"/>
      <c r="CZ178" s="44"/>
      <c r="DA178" s="44"/>
      <c r="DB178" s="44"/>
      <c r="DC178" s="44"/>
      <c r="DD178" s="44"/>
      <c r="DE178" s="44"/>
      <c r="DF178" s="44"/>
      <c r="DG178" s="44"/>
      <c r="DH178" s="44"/>
      <c r="DI178" s="44"/>
      <c r="DJ178" s="44"/>
      <c r="DK178" s="44"/>
      <c r="DL178" s="44"/>
      <c r="DM178" s="44"/>
      <c r="DN178" s="44"/>
      <c r="DO178" s="44"/>
      <c r="DP178" s="44"/>
      <c r="DQ178" s="44"/>
      <c r="DR178" s="44"/>
      <c r="DS178" s="44"/>
      <c r="DT178" s="44"/>
      <c r="DU178" s="44"/>
      <c r="DV178" s="44"/>
      <c r="DW178" s="44"/>
      <c r="DX178" s="44"/>
      <c r="DY178" s="44"/>
      <c r="DZ178" s="44"/>
      <c r="EA178" s="44"/>
      <c r="EB178" s="44"/>
      <c r="EC178" s="44"/>
      <c r="ED178" s="44"/>
      <c r="EE178" s="44"/>
      <c r="EF178" s="44"/>
      <c r="EG178" s="44"/>
    </row>
    <row r="179" spans="1:137" ht="15" customHeight="1">
      <c r="A179" s="14"/>
      <c r="B179" s="44"/>
      <c r="C179" s="170"/>
      <c r="D179" s="170"/>
      <c r="E179" s="73"/>
      <c r="F179" s="73"/>
      <c r="G179" s="74"/>
      <c r="H179" s="201"/>
      <c r="I179" s="201"/>
      <c r="J179" s="56"/>
      <c r="K179" s="56"/>
      <c r="L179" s="73"/>
      <c r="M179" s="119" t="str">
        <f>IF(R67=TRUE,"Til utskrift","")</f>
        <v/>
      </c>
      <c r="N179" s="89"/>
      <c r="O179" s="89"/>
      <c r="P179" s="89"/>
      <c r="Q179" s="44"/>
      <c r="R179" s="44"/>
      <c r="S179" s="44"/>
      <c r="U179" s="3" t="b">
        <f t="shared" si="5"/>
        <v>0</v>
      </c>
      <c r="V179" s="3" t="s">
        <v>33</v>
      </c>
      <c r="W179" s="3" t="b">
        <f t="shared" ref="W179:W187" si="8">IF(G171="",TRUE,FALSE)</f>
        <v>1</v>
      </c>
      <c r="X179" s="3" t="b">
        <f t="shared" si="6"/>
        <v>1</v>
      </c>
      <c r="Y179" s="3" t="b">
        <f t="shared" ref="Y179:Y187" si="9">AND(W179,X179)</f>
        <v>1</v>
      </c>
      <c r="Z179" s="12" t="str">
        <f t="shared" si="7"/>
        <v/>
      </c>
      <c r="AA179" s="12"/>
      <c r="AC179" s="4" t="b">
        <f t="shared" ref="AC179:AC187" si="10">IF(E171="",TRUE,IF(E171="a",TRUE,IF(E171="b",TRUE,FALSE)))</f>
        <v>1</v>
      </c>
      <c r="AD179" s="12" t="str">
        <f t="shared" ref="AD179:AD187" si="11">IF(H171="Løsemiddelbasert","Løsemiddelbasert",IF(H171="Vannbasert","Vannbasert",""))</f>
        <v/>
      </c>
      <c r="AF179" s="30" t="str">
        <f>IF(W59=TRUE,"d) Maling for treverk, metall og plast innendørs/utendørs","")</f>
        <v/>
      </c>
      <c r="AO179" s="3" t="s">
        <v>5</v>
      </c>
      <c r="BU179" s="44"/>
      <c r="BV179" s="44"/>
      <c r="BW179" s="44"/>
      <c r="BX179" s="44"/>
      <c r="BY179" s="44"/>
      <c r="BZ179" s="44"/>
      <c r="CA179" s="44"/>
      <c r="CB179" s="44"/>
      <c r="CC179" s="44"/>
      <c r="CD179" s="44"/>
      <c r="CE179" s="44"/>
      <c r="CF179" s="44"/>
      <c r="CG179" s="44"/>
      <c r="CH179" s="44"/>
      <c r="CI179" s="44"/>
      <c r="CJ179" s="44"/>
      <c r="CK179" s="44"/>
      <c r="CL179" s="44"/>
      <c r="CM179" s="44"/>
      <c r="CN179" s="44"/>
      <c r="CO179" s="44"/>
      <c r="CP179" s="44"/>
      <c r="CQ179" s="44"/>
      <c r="CR179" s="44"/>
      <c r="CS179" s="44"/>
      <c r="CT179" s="44"/>
      <c r="CU179" s="44"/>
      <c r="CV179" s="44"/>
      <c r="CW179" s="44"/>
      <c r="CX179" s="44"/>
      <c r="CY179" s="44"/>
      <c r="CZ179" s="44"/>
      <c r="DA179" s="44"/>
      <c r="DB179" s="44"/>
      <c r="DC179" s="44"/>
      <c r="DD179" s="44"/>
      <c r="DE179" s="44"/>
      <c r="DF179" s="44"/>
      <c r="DG179" s="44"/>
      <c r="DH179" s="44"/>
      <c r="DI179" s="44"/>
      <c r="DJ179" s="44"/>
      <c r="DK179" s="44"/>
      <c r="DL179" s="44"/>
      <c r="DM179" s="44"/>
      <c r="DN179" s="44"/>
      <c r="DO179" s="44"/>
      <c r="DP179" s="44"/>
      <c r="DQ179" s="44"/>
      <c r="DR179" s="44"/>
      <c r="DS179" s="44"/>
      <c r="DT179" s="44"/>
      <c r="DU179" s="44"/>
      <c r="DV179" s="44"/>
      <c r="DW179" s="44"/>
      <c r="DX179" s="44"/>
      <c r="DY179" s="44"/>
      <c r="DZ179" s="44"/>
      <c r="EA179" s="44"/>
      <c r="EB179" s="44"/>
      <c r="EC179" s="44"/>
      <c r="ED179" s="44"/>
      <c r="EE179" s="44"/>
      <c r="EF179" s="44"/>
      <c r="EG179" s="44"/>
    </row>
    <row r="180" spans="1:137">
      <c r="A180" s="14"/>
      <c r="B180" s="44"/>
      <c r="C180" s="92"/>
      <c r="D180" s="92"/>
      <c r="E180" s="93"/>
      <c r="F180" s="93"/>
      <c r="G180" s="92"/>
      <c r="H180" s="92"/>
      <c r="I180" s="92"/>
      <c r="J180" s="92"/>
      <c r="K180" s="92"/>
      <c r="L180" s="92"/>
      <c r="M180" s="92"/>
      <c r="N180" s="92"/>
      <c r="O180" s="93"/>
      <c r="P180" s="89"/>
      <c r="Q180" s="44"/>
      <c r="R180" s="98"/>
      <c r="S180" s="44"/>
      <c r="V180" s="3" t="s">
        <v>37</v>
      </c>
      <c r="W180" s="3" t="b">
        <f t="shared" si="8"/>
        <v>1</v>
      </c>
      <c r="X180" s="3" t="b">
        <f t="shared" si="6"/>
        <v>1</v>
      </c>
      <c r="Y180" s="3" t="b">
        <f t="shared" si="9"/>
        <v>1</v>
      </c>
      <c r="Z180" s="12" t="str">
        <f t="shared" si="7"/>
        <v/>
      </c>
      <c r="AA180" s="12"/>
      <c r="AC180" s="4" t="b">
        <f>IF(E172="",TRUE,IF(E172="a",TRUE,IF(E172="b",TRUE,FALSE)))</f>
        <v>1</v>
      </c>
      <c r="AD180" s="12" t="str">
        <f t="shared" si="11"/>
        <v/>
      </c>
      <c r="AF180" s="30" t="str">
        <f>IF(W59=TRUE,"e) Lakk, lasur og beis for innendørs/utendørs behandling av tre, metall og plast","")</f>
        <v/>
      </c>
      <c r="AO180" s="3" t="s">
        <v>6</v>
      </c>
      <c r="BU180" s="87"/>
      <c r="BV180" s="44"/>
      <c r="BW180" s="44"/>
      <c r="BX180" s="44"/>
      <c r="BY180" s="44"/>
      <c r="BZ180" s="44"/>
      <c r="CA180" s="44"/>
      <c r="CB180" s="44"/>
      <c r="CC180" s="44"/>
      <c r="CD180" s="44"/>
      <c r="CE180" s="44"/>
      <c r="CF180" s="44"/>
      <c r="CG180" s="44"/>
      <c r="CH180" s="44"/>
      <c r="CI180" s="44"/>
      <c r="CJ180" s="44"/>
      <c r="CK180" s="44"/>
      <c r="CL180" s="44"/>
      <c r="CM180" s="44"/>
      <c r="CN180" s="44"/>
      <c r="CO180" s="44"/>
      <c r="CP180" s="44"/>
      <c r="CQ180" s="44"/>
      <c r="CR180" s="44"/>
      <c r="CS180" s="44"/>
      <c r="CT180" s="44"/>
      <c r="CU180" s="44"/>
      <c r="CV180" s="44"/>
      <c r="CW180" s="44"/>
      <c r="CX180" s="44"/>
      <c r="CY180" s="44"/>
      <c r="CZ180" s="44"/>
      <c r="DA180" s="44"/>
      <c r="DB180" s="44"/>
      <c r="DC180" s="44"/>
      <c r="DD180" s="44"/>
      <c r="DE180" s="44"/>
      <c r="DF180" s="44"/>
      <c r="DG180" s="44"/>
      <c r="DH180" s="44"/>
      <c r="DI180" s="44"/>
      <c r="DJ180" s="44"/>
      <c r="DK180" s="44"/>
      <c r="DL180" s="44"/>
      <c r="DM180" s="44"/>
      <c r="DN180" s="44"/>
      <c r="DO180" s="44"/>
      <c r="DP180" s="44"/>
      <c r="DQ180" s="44"/>
      <c r="DR180" s="44"/>
      <c r="DS180" s="44"/>
      <c r="DT180" s="44"/>
      <c r="DU180" s="44"/>
      <c r="DV180" s="44"/>
      <c r="DW180" s="44"/>
      <c r="DX180" s="44"/>
      <c r="DY180" s="44"/>
      <c r="DZ180" s="44"/>
      <c r="EA180" s="44"/>
      <c r="EB180" s="44"/>
      <c r="EC180" s="44"/>
      <c r="ED180" s="44"/>
      <c r="EE180" s="44"/>
      <c r="EF180" s="44"/>
      <c r="EG180" s="44"/>
    </row>
    <row r="181" spans="1:137" ht="15" customHeight="1">
      <c r="A181" s="14"/>
      <c r="B181" s="44"/>
      <c r="C181" s="203" t="str">
        <f>IF(T48=TRUE,"",IF(W188=FALSE,W191,""))</f>
        <v/>
      </c>
      <c r="D181" s="203"/>
      <c r="E181" s="203"/>
      <c r="F181" s="203"/>
      <c r="G181" s="203"/>
      <c r="H181" s="203"/>
      <c r="I181" s="203"/>
      <c r="J181" s="203"/>
      <c r="K181" s="203"/>
      <c r="L181" s="203"/>
      <c r="M181" s="92"/>
      <c r="N181" s="92"/>
      <c r="O181" s="93"/>
      <c r="P181" s="44"/>
      <c r="Q181" s="44"/>
      <c r="R181" s="44"/>
      <c r="S181" s="44"/>
      <c r="V181" s="3" t="s">
        <v>38</v>
      </c>
      <c r="W181" s="3" t="b">
        <f t="shared" si="8"/>
        <v>1</v>
      </c>
      <c r="X181" s="3" t="b">
        <f t="shared" si="6"/>
        <v>1</v>
      </c>
      <c r="Y181" s="3" t="b">
        <f t="shared" si="9"/>
        <v>1</v>
      </c>
      <c r="Z181" s="12" t="str">
        <f t="shared" si="7"/>
        <v/>
      </c>
      <c r="AA181" s="12"/>
      <c r="AC181" s="4" t="b">
        <f t="shared" si="10"/>
        <v>1</v>
      </c>
      <c r="AD181" s="12" t="str">
        <f t="shared" si="11"/>
        <v/>
      </c>
      <c r="AF181" s="30" t="str">
        <f>IF(W59=TRUE,"f) Tynnsjiktet lasur, olje eller beis","")</f>
        <v/>
      </c>
      <c r="AO181" s="3" t="s">
        <v>7</v>
      </c>
      <c r="BU181" s="44"/>
      <c r="BV181" s="44"/>
      <c r="BW181" s="44"/>
      <c r="BX181" s="44"/>
      <c r="BY181" s="44"/>
      <c r="BZ181" s="44"/>
      <c r="CA181" s="44"/>
      <c r="CB181" s="44"/>
      <c r="CC181" s="44"/>
      <c r="CD181" s="44"/>
      <c r="CE181" s="44"/>
      <c r="CF181" s="44"/>
      <c r="CG181" s="44"/>
      <c r="CH181" s="44"/>
      <c r="CI181" s="44"/>
      <c r="CJ181" s="44"/>
      <c r="CK181" s="44"/>
      <c r="CL181" s="44"/>
      <c r="CM181" s="44"/>
      <c r="CN181" s="44"/>
      <c r="CO181" s="44"/>
      <c r="CP181" s="44"/>
      <c r="CQ181" s="44"/>
      <c r="CR181" s="44"/>
      <c r="CS181" s="44"/>
      <c r="CT181" s="44"/>
      <c r="CU181" s="44"/>
      <c r="CV181" s="44"/>
      <c r="CW181" s="44"/>
      <c r="CX181" s="44"/>
      <c r="CY181" s="44"/>
      <c r="CZ181" s="44"/>
      <c r="DA181" s="44"/>
      <c r="DB181" s="44"/>
      <c r="DC181" s="44"/>
      <c r="DD181" s="44"/>
      <c r="DE181" s="44"/>
      <c r="DF181" s="44"/>
      <c r="DG181" s="44"/>
      <c r="DH181" s="44"/>
      <c r="DI181" s="44"/>
      <c r="DJ181" s="44"/>
      <c r="DK181" s="44"/>
      <c r="DL181" s="44"/>
      <c r="DM181" s="44"/>
      <c r="DN181" s="44"/>
      <c r="DO181" s="44"/>
      <c r="DP181" s="44"/>
      <c r="DQ181" s="44"/>
      <c r="DR181" s="44"/>
      <c r="DS181" s="44"/>
      <c r="DT181" s="44"/>
      <c r="DU181" s="44"/>
      <c r="DV181" s="44"/>
      <c r="DW181" s="44"/>
      <c r="DX181" s="44"/>
      <c r="DY181" s="44"/>
      <c r="DZ181" s="44"/>
      <c r="EA181" s="44"/>
      <c r="EB181" s="44"/>
      <c r="EC181" s="44"/>
      <c r="ED181" s="44"/>
      <c r="EE181" s="44"/>
      <c r="EF181" s="44"/>
      <c r="EG181" s="44"/>
    </row>
    <row r="182" spans="1:137">
      <c r="A182" s="14"/>
      <c r="B182" s="44"/>
      <c r="C182" s="203"/>
      <c r="D182" s="203"/>
      <c r="E182" s="203"/>
      <c r="F182" s="203"/>
      <c r="G182" s="203"/>
      <c r="H182" s="203"/>
      <c r="I182" s="203"/>
      <c r="J182" s="203"/>
      <c r="K182" s="203"/>
      <c r="L182" s="203"/>
      <c r="M182" s="92"/>
      <c r="N182" s="92"/>
      <c r="O182" s="93"/>
      <c r="P182" s="44"/>
      <c r="Q182" s="44"/>
      <c r="R182" s="44"/>
      <c r="S182" s="45"/>
      <c r="T182" s="4"/>
      <c r="U182" s="4"/>
      <c r="V182" s="4" t="s">
        <v>28</v>
      </c>
      <c r="W182" s="3" t="b">
        <f t="shared" si="8"/>
        <v>1</v>
      </c>
      <c r="X182" s="3" t="b">
        <f t="shared" si="6"/>
        <v>1</v>
      </c>
      <c r="Y182" s="3" t="b">
        <f t="shared" si="9"/>
        <v>1</v>
      </c>
      <c r="Z182" s="12" t="str">
        <f t="shared" si="7"/>
        <v/>
      </c>
      <c r="AA182" s="12"/>
      <c r="AC182" s="4" t="b">
        <f t="shared" si="10"/>
        <v>1</v>
      </c>
      <c r="AD182" s="12" t="str">
        <f t="shared" si="11"/>
        <v/>
      </c>
      <c r="AE182" s="4"/>
      <c r="AF182" s="31" t="str">
        <f>IF(W59=TRUE,"g) Grunning","")</f>
        <v/>
      </c>
      <c r="AG182" s="4"/>
      <c r="AH182" s="4"/>
      <c r="AI182" s="4"/>
      <c r="AJ182" s="4"/>
      <c r="AK182" s="4"/>
      <c r="AL182" s="4"/>
      <c r="AM182" s="4"/>
      <c r="AN182" s="4"/>
      <c r="AO182" s="4"/>
      <c r="AP182" s="4"/>
      <c r="AQ182" s="4"/>
      <c r="AR182" s="4"/>
      <c r="AS182" s="4"/>
      <c r="AT182" s="4"/>
      <c r="AU182" s="4"/>
      <c r="AV182" s="4"/>
      <c r="AW182" s="4" t="b">
        <f>IF(BU195="",TRUE,FALSE)</f>
        <v>1</v>
      </c>
      <c r="AX182" s="4"/>
      <c r="AY182" s="4"/>
      <c r="AZ182" s="4"/>
      <c r="BA182" s="4"/>
      <c r="BB182" s="4"/>
      <c r="BC182" s="4"/>
      <c r="BD182" s="4"/>
      <c r="BE182" s="4"/>
      <c r="BF182" s="4"/>
      <c r="BG182" s="4"/>
      <c r="BH182" s="4"/>
      <c r="BI182" s="4"/>
      <c r="BJ182" s="4"/>
      <c r="BK182" s="4"/>
      <c r="BL182" s="4"/>
      <c r="BM182" s="4"/>
      <c r="BN182" s="4"/>
      <c r="BO182" s="4"/>
      <c r="BP182" s="4"/>
      <c r="BQ182" s="4"/>
      <c r="BR182" s="4"/>
      <c r="BS182" s="4"/>
      <c r="BT182" s="4"/>
      <c r="BU182" s="45"/>
      <c r="BV182" s="45"/>
      <c r="BW182" s="45"/>
      <c r="BX182" s="45"/>
      <c r="BY182" s="45"/>
      <c r="BZ182" s="45"/>
      <c r="CA182" s="45"/>
      <c r="CB182" s="45"/>
      <c r="CC182" s="45"/>
      <c r="CD182" s="45"/>
      <c r="CE182" s="45"/>
      <c r="CF182" s="45"/>
      <c r="CG182" s="44"/>
      <c r="CH182" s="44"/>
      <c r="CI182" s="44"/>
      <c r="CJ182" s="44"/>
      <c r="CK182" s="44"/>
      <c r="CL182" s="44"/>
      <c r="CM182" s="44"/>
      <c r="CN182" s="44"/>
      <c r="CO182" s="44"/>
      <c r="CP182" s="44"/>
      <c r="CQ182" s="44"/>
      <c r="CR182" s="44"/>
      <c r="CS182" s="44"/>
      <c r="CT182" s="44"/>
      <c r="CU182" s="44"/>
      <c r="CV182" s="44"/>
      <c r="CW182" s="44"/>
      <c r="CX182" s="44"/>
      <c r="CY182" s="44"/>
      <c r="CZ182" s="44"/>
      <c r="DA182" s="44"/>
      <c r="DB182" s="44"/>
      <c r="DC182" s="44"/>
      <c r="DD182" s="44"/>
      <c r="DE182" s="44"/>
      <c r="DF182" s="44"/>
      <c r="DG182" s="44"/>
      <c r="DH182" s="44"/>
      <c r="DI182" s="44"/>
      <c r="DJ182" s="44"/>
      <c r="DK182" s="44"/>
      <c r="DL182" s="44"/>
      <c r="DM182" s="44"/>
      <c r="DN182" s="44"/>
      <c r="DO182" s="44"/>
      <c r="DP182" s="44"/>
      <c r="DQ182" s="44"/>
      <c r="DR182" s="44"/>
      <c r="DS182" s="44"/>
      <c r="DT182" s="44"/>
      <c r="DU182" s="44"/>
      <c r="DV182" s="44"/>
      <c r="DW182" s="44"/>
      <c r="DX182" s="44"/>
      <c r="DY182" s="44"/>
      <c r="DZ182" s="44"/>
      <c r="EA182" s="44"/>
      <c r="EB182" s="44"/>
      <c r="EC182" s="44"/>
      <c r="ED182" s="44"/>
      <c r="EE182" s="44"/>
      <c r="EF182" s="44"/>
      <c r="EG182" s="44"/>
    </row>
    <row r="183" spans="1:137">
      <c r="A183" s="14"/>
      <c r="B183" s="44"/>
      <c r="C183" s="203"/>
      <c r="D183" s="203"/>
      <c r="E183" s="203"/>
      <c r="F183" s="203"/>
      <c r="G183" s="203"/>
      <c r="H183" s="203"/>
      <c r="I183" s="203"/>
      <c r="J183" s="203"/>
      <c r="K183" s="203"/>
      <c r="L183" s="203"/>
      <c r="M183" s="92"/>
      <c r="N183" s="92"/>
      <c r="O183" s="93"/>
      <c r="P183" s="44"/>
      <c r="Q183" s="44"/>
      <c r="R183" s="44"/>
      <c r="S183" s="45"/>
      <c r="T183" s="4"/>
      <c r="U183" s="4"/>
      <c r="V183" s="4" t="s">
        <v>30</v>
      </c>
      <c r="W183" s="3" t="b">
        <f t="shared" si="8"/>
        <v>1</v>
      </c>
      <c r="X183" s="3" t="b">
        <f t="shared" si="6"/>
        <v>1</v>
      </c>
      <c r="Y183" s="3" t="b">
        <f t="shared" si="9"/>
        <v>1</v>
      </c>
      <c r="Z183" s="12" t="str">
        <f t="shared" si="7"/>
        <v/>
      </c>
      <c r="AA183" s="12"/>
      <c r="AC183" s="4" t="b">
        <f t="shared" si="10"/>
        <v>1</v>
      </c>
      <c r="AD183" s="12" t="str">
        <f t="shared" si="11"/>
        <v/>
      </c>
      <c r="AE183" s="4"/>
      <c r="AF183" s="31" t="str">
        <f>IF(W59=TRUE,"h) Heftgrunning","")</f>
        <v/>
      </c>
      <c r="AG183" s="4"/>
      <c r="AH183" s="4"/>
      <c r="AI183" s="4"/>
      <c r="AJ183" s="4"/>
      <c r="AK183" s="4"/>
      <c r="AL183" s="4"/>
      <c r="AM183" s="4"/>
      <c r="AN183" s="4"/>
      <c r="AO183" s="4"/>
      <c r="AP183" s="4"/>
      <c r="AQ183" s="4"/>
      <c r="AR183" s="4"/>
      <c r="AS183" s="4"/>
      <c r="AT183" s="4"/>
      <c r="AU183" s="4"/>
      <c r="AV183" s="4"/>
      <c r="AW183" s="4" t="b">
        <f>OR(AX183,AY183)</f>
        <v>0</v>
      </c>
      <c r="AX183" s="4" t="b">
        <f>IF(R48=2,IF(R60=9,TRUE,FALSE))</f>
        <v>0</v>
      </c>
      <c r="AY183" s="4" t="b">
        <f>IF(R48=2,IF(R60=10,TRUE,FALSE))</f>
        <v>0</v>
      </c>
      <c r="AZ183" s="4"/>
      <c r="BA183" s="4"/>
      <c r="BB183" s="4"/>
      <c r="BC183" s="4"/>
      <c r="BD183" s="4"/>
      <c r="BE183" s="4"/>
      <c r="BF183" s="4"/>
      <c r="BG183" s="4"/>
      <c r="BH183" s="4"/>
      <c r="BI183" s="4"/>
      <c r="BJ183" s="4"/>
      <c r="BK183" s="4"/>
      <c r="BL183" s="4"/>
      <c r="BM183" s="4"/>
      <c r="BN183" s="4"/>
      <c r="BO183" s="4"/>
      <c r="BP183" s="4"/>
      <c r="BQ183" s="4"/>
      <c r="BR183" s="4"/>
      <c r="BS183" s="4"/>
      <c r="BT183" s="4"/>
      <c r="BU183" s="45"/>
      <c r="BV183" s="45"/>
      <c r="BW183" s="45"/>
      <c r="BX183" s="45"/>
      <c r="BY183" s="45"/>
      <c r="BZ183" s="45"/>
      <c r="CA183" s="45"/>
      <c r="CB183" s="45"/>
      <c r="CC183" s="45"/>
      <c r="CD183" s="45"/>
      <c r="CE183" s="45"/>
      <c r="CF183" s="45"/>
      <c r="CG183" s="44"/>
      <c r="CH183" s="44"/>
      <c r="CI183" s="44"/>
      <c r="CJ183" s="44"/>
      <c r="CK183" s="44"/>
      <c r="CL183" s="44"/>
      <c r="CM183" s="44"/>
      <c r="CN183" s="44"/>
      <c r="CO183" s="44"/>
      <c r="CP183" s="44"/>
      <c r="CQ183" s="44"/>
      <c r="CR183" s="44"/>
      <c r="CS183" s="44"/>
      <c r="CT183" s="44"/>
      <c r="CU183" s="44"/>
      <c r="CV183" s="44"/>
      <c r="CW183" s="44"/>
      <c r="CX183" s="44"/>
      <c r="CY183" s="44"/>
      <c r="CZ183" s="44"/>
      <c r="DA183" s="44"/>
      <c r="DB183" s="44"/>
      <c r="DC183" s="44"/>
      <c r="DD183" s="44"/>
      <c r="DE183" s="44"/>
      <c r="DF183" s="44"/>
      <c r="DG183" s="44"/>
      <c r="DH183" s="44"/>
      <c r="DI183" s="44"/>
      <c r="DJ183" s="44"/>
      <c r="DK183" s="44"/>
      <c r="DL183" s="44"/>
      <c r="DM183" s="44"/>
      <c r="DN183" s="44"/>
      <c r="DO183" s="44"/>
      <c r="DP183" s="44"/>
      <c r="DQ183" s="44"/>
      <c r="DR183" s="44"/>
      <c r="DS183" s="44"/>
      <c r="DT183" s="44"/>
      <c r="DU183" s="44"/>
      <c r="DV183" s="44"/>
      <c r="DW183" s="44"/>
      <c r="DX183" s="44"/>
      <c r="DY183" s="44"/>
      <c r="DZ183" s="44"/>
      <c r="EA183" s="44"/>
      <c r="EB183" s="44"/>
      <c r="EC183" s="44"/>
      <c r="ED183" s="44"/>
      <c r="EE183" s="44"/>
      <c r="EF183" s="44"/>
      <c r="EG183" s="44"/>
    </row>
    <row r="184" spans="1:137">
      <c r="A184" s="14"/>
      <c r="B184" s="44"/>
      <c r="C184" s="92"/>
      <c r="D184" s="92"/>
      <c r="E184" s="93"/>
      <c r="F184" s="93"/>
      <c r="G184" s="92"/>
      <c r="H184" s="92"/>
      <c r="I184" s="92"/>
      <c r="J184" s="92"/>
      <c r="K184" s="92"/>
      <c r="L184" s="92"/>
      <c r="M184" s="92"/>
      <c r="N184" s="92"/>
      <c r="O184" s="93"/>
      <c r="P184" s="44"/>
      <c r="Q184" s="44"/>
      <c r="R184" s="44"/>
      <c r="S184" s="45"/>
      <c r="T184" s="4"/>
      <c r="U184" s="4"/>
      <c r="V184" s="4" t="s">
        <v>32</v>
      </c>
      <c r="W184" s="3" t="b">
        <f t="shared" si="8"/>
        <v>1</v>
      </c>
      <c r="X184" s="3" t="b">
        <f t="shared" si="6"/>
        <v>1</v>
      </c>
      <c r="Y184" s="3" t="b">
        <f t="shared" si="9"/>
        <v>1</v>
      </c>
      <c r="Z184" s="12" t="str">
        <f t="shared" si="7"/>
        <v/>
      </c>
      <c r="AA184" s="12"/>
      <c r="AC184" s="4" t="b">
        <f t="shared" si="10"/>
        <v>1</v>
      </c>
      <c r="AD184" s="12" t="str">
        <f t="shared" si="11"/>
        <v/>
      </c>
      <c r="AE184" s="4"/>
      <c r="AF184" s="31" t="str">
        <f>IF(W59=TRUE,"i) Enkomponent spesialmaling","")</f>
        <v/>
      </c>
      <c r="AG184" s="4"/>
      <c r="AH184" s="4"/>
      <c r="AI184" s="4"/>
      <c r="AJ184" s="4"/>
      <c r="AK184" s="4"/>
      <c r="AL184" s="4"/>
      <c r="AM184" s="4"/>
      <c r="AN184" s="4"/>
      <c r="AO184" s="4"/>
      <c r="AP184" s="10" t="str">
        <f>CONCATENATE(E170,"
",E171,"
",E172)</f>
        <v xml:space="preserve">
</v>
      </c>
      <c r="AQ184" s="10" t="str">
        <f>CONCATENATE(AQ188,"
",AQ189,"
",AQ190)</f>
        <v xml:space="preserve">
</v>
      </c>
      <c r="AR184" s="10"/>
      <c r="AS184" s="100" t="str">
        <f>CONCATENATE(AU188," ",AW188,"
",AU189," ",AW189,"
",AU190," ",AW190)</f>
        <v xml:space="preserve"> 
 </v>
      </c>
      <c r="AT184" s="10" t="str">
        <f>CONCATENATE(AT188,"
",AT189,"
",AT190)</f>
        <v xml:space="preserve">
</v>
      </c>
      <c r="AU184" s="10" t="str">
        <f>CONCATENATE(L170,"
",L171,"
",L172)</f>
        <v xml:space="preserve">
</v>
      </c>
      <c r="AV184" s="10"/>
      <c r="AW184" s="4" t="b">
        <f>IF(BU203="Navn på produsent mangler!",TRUE,FALSE)</f>
        <v>1</v>
      </c>
      <c r="AX184" s="4"/>
      <c r="AY184" s="4"/>
      <c r="AZ184" s="4"/>
      <c r="BA184" s="4"/>
      <c r="BB184" s="4"/>
      <c r="BC184" s="4"/>
      <c r="BD184" s="4"/>
      <c r="BE184" s="4"/>
      <c r="BF184" s="4"/>
      <c r="BG184" s="4"/>
      <c r="BH184" s="4"/>
      <c r="BI184" s="4"/>
      <c r="BJ184" s="4"/>
      <c r="BK184" s="4"/>
      <c r="BL184" s="4"/>
      <c r="BM184" s="4"/>
      <c r="BN184" s="4"/>
      <c r="BO184" s="4"/>
      <c r="BP184" s="4"/>
      <c r="BQ184" s="4"/>
      <c r="BR184" s="4"/>
      <c r="BS184" s="4"/>
      <c r="BT184" s="4"/>
      <c r="BU184" s="45"/>
      <c r="BV184" s="45"/>
      <c r="BW184" s="45"/>
      <c r="BX184" s="45"/>
      <c r="BY184" s="45"/>
      <c r="BZ184" s="45"/>
      <c r="CA184" s="45"/>
      <c r="CB184" s="45"/>
      <c r="CC184" s="45"/>
      <c r="CD184" s="45"/>
      <c r="CE184" s="45"/>
      <c r="CF184" s="45"/>
      <c r="CG184" s="44"/>
      <c r="CH184" s="44"/>
      <c r="CI184" s="44"/>
      <c r="CJ184" s="44"/>
      <c r="CK184" s="44"/>
      <c r="CL184" s="44"/>
      <c r="CM184" s="44"/>
      <c r="CN184" s="44"/>
      <c r="CO184" s="44"/>
      <c r="CP184" s="44"/>
      <c r="CQ184" s="44"/>
      <c r="CR184" s="44"/>
      <c r="CS184" s="44"/>
      <c r="CT184" s="44"/>
      <c r="CU184" s="44"/>
      <c r="CV184" s="44"/>
      <c r="CW184" s="44"/>
      <c r="CX184" s="44"/>
      <c r="CY184" s="44"/>
      <c r="CZ184" s="44"/>
      <c r="DA184" s="44"/>
      <c r="DB184" s="44"/>
      <c r="DC184" s="44"/>
      <c r="DD184" s="44"/>
      <c r="DE184" s="44"/>
      <c r="DF184" s="44"/>
      <c r="DG184" s="44"/>
      <c r="DH184" s="44"/>
      <c r="DI184" s="44"/>
      <c r="DJ184" s="44"/>
      <c r="DK184" s="44"/>
      <c r="DL184" s="44"/>
      <c r="DM184" s="44"/>
      <c r="DN184" s="44"/>
      <c r="DO184" s="44"/>
      <c r="DP184" s="44"/>
      <c r="DQ184" s="44"/>
      <c r="DR184" s="44"/>
      <c r="DS184" s="44"/>
      <c r="DT184" s="44"/>
      <c r="DU184" s="44"/>
      <c r="DV184" s="44"/>
      <c r="DW184" s="44"/>
      <c r="DX184" s="44"/>
      <c r="DY184" s="44"/>
      <c r="DZ184" s="44"/>
      <c r="EA184" s="44"/>
      <c r="EB184" s="44"/>
      <c r="EC184" s="44"/>
      <c r="ED184" s="44"/>
      <c r="EE184" s="44"/>
      <c r="EF184" s="44"/>
      <c r="EG184" s="44"/>
    </row>
    <row r="185" spans="1:137">
      <c r="A185" s="14"/>
      <c r="B185" s="44"/>
      <c r="C185" s="92"/>
      <c r="D185" s="92"/>
      <c r="E185" s="93"/>
      <c r="F185" s="93"/>
      <c r="G185" s="92"/>
      <c r="H185" s="92"/>
      <c r="I185" s="92"/>
      <c r="J185" s="92"/>
      <c r="K185" s="92"/>
      <c r="L185" s="92"/>
      <c r="M185" s="92"/>
      <c r="N185" s="92"/>
      <c r="O185" s="93"/>
      <c r="P185" s="89"/>
      <c r="Q185" s="89"/>
      <c r="R185" s="89"/>
      <c r="S185" s="94"/>
      <c r="T185" s="4"/>
      <c r="U185" s="4"/>
      <c r="V185" s="4" t="s">
        <v>29</v>
      </c>
      <c r="W185" s="3" t="b">
        <f t="shared" si="8"/>
        <v>1</v>
      </c>
      <c r="X185" s="3" t="b">
        <f t="shared" si="6"/>
        <v>1</v>
      </c>
      <c r="Y185" s="3" t="b">
        <f t="shared" si="9"/>
        <v>1</v>
      </c>
      <c r="Z185" s="12" t="str">
        <f t="shared" si="7"/>
        <v/>
      </c>
      <c r="AA185" s="12"/>
      <c r="AC185" s="4" t="b">
        <f t="shared" si="10"/>
        <v>1</v>
      </c>
      <c r="AD185" s="12" t="str">
        <f t="shared" si="11"/>
        <v/>
      </c>
      <c r="AE185" s="4"/>
      <c r="AF185" s="31" t="str">
        <f>IF(W59=TRUE,"j) Tokomponent spesialmaling","")</f>
        <v/>
      </c>
      <c r="AG185" s="4"/>
      <c r="AH185" s="4"/>
      <c r="AI185" s="4"/>
      <c r="AJ185" s="4"/>
      <c r="AK185" s="4"/>
      <c r="AL185" s="4"/>
      <c r="AM185" s="4"/>
      <c r="AN185" s="4"/>
      <c r="AO185" s="4"/>
      <c r="AP185" s="10" t="str">
        <f>CONCATENATE(E175,"
",E176)</f>
        <v xml:space="preserve">
</v>
      </c>
      <c r="AQ185" s="10" t="str">
        <f>CONCATENATE(AQ191,"
",AQ192)</f>
        <v xml:space="preserve">
</v>
      </c>
      <c r="AR185" s="10"/>
      <c r="AS185" s="10" t="str">
        <f>CONCATENATE(AU191," ",AW191,"
",AU192," ",AW192)</f>
        <v xml:space="preserve"> 
 </v>
      </c>
      <c r="AT185" s="10" t="str">
        <f>CONCATENATE(AT191,"
",AT192)</f>
        <v xml:space="preserve">
</v>
      </c>
      <c r="AU185" s="10" t="str">
        <f>CONCATENATE(L175,"
",L176)</f>
        <v xml:space="preserve">
</v>
      </c>
      <c r="AV185" s="10"/>
      <c r="AW185" s="4" t="b">
        <f>OR(AW182:AW184)</f>
        <v>1</v>
      </c>
      <c r="AX185" s="4"/>
      <c r="AY185" s="4"/>
      <c r="AZ185" s="4"/>
      <c r="BA185" s="4"/>
      <c r="BB185" s="4"/>
      <c r="BC185" s="4"/>
      <c r="BD185" s="4"/>
      <c r="BE185" s="4"/>
      <c r="BF185" s="4"/>
      <c r="BG185" s="4"/>
      <c r="BH185" s="4"/>
      <c r="BI185" s="4"/>
      <c r="BJ185" s="4"/>
      <c r="BK185" s="4"/>
      <c r="BL185" s="4"/>
      <c r="BM185" s="4"/>
      <c r="BN185" s="4"/>
      <c r="BO185" s="4"/>
      <c r="BP185" s="4"/>
      <c r="BQ185" s="4"/>
      <c r="BR185" s="4"/>
      <c r="BS185" s="4"/>
      <c r="BT185" s="4"/>
      <c r="BU185" s="45"/>
      <c r="BV185" s="45"/>
      <c r="BW185" s="45"/>
      <c r="BX185" s="45"/>
      <c r="BY185" s="45"/>
      <c r="BZ185" s="45"/>
      <c r="CA185" s="45"/>
      <c r="CB185" s="45"/>
      <c r="CC185" s="45"/>
      <c r="CD185" s="45"/>
      <c r="CE185" s="45"/>
      <c r="CF185" s="45"/>
      <c r="CG185" s="44"/>
      <c r="CH185" s="44"/>
      <c r="CI185" s="44"/>
      <c r="CJ185" s="44"/>
      <c r="CK185" s="44"/>
      <c r="CL185" s="44"/>
      <c r="CM185" s="44"/>
      <c r="CN185" s="44"/>
      <c r="CO185" s="44"/>
      <c r="CP185" s="44"/>
      <c r="CQ185" s="44"/>
      <c r="CR185" s="44"/>
      <c r="CS185" s="44"/>
      <c r="CT185" s="44"/>
      <c r="CU185" s="44"/>
      <c r="CV185" s="44"/>
      <c r="CW185" s="44"/>
      <c r="CX185" s="44"/>
      <c r="CY185" s="44"/>
      <c r="CZ185" s="44"/>
      <c r="DA185" s="44"/>
      <c r="DB185" s="44"/>
      <c r="DC185" s="44"/>
      <c r="DD185" s="44"/>
      <c r="DE185" s="44"/>
      <c r="DF185" s="44"/>
      <c r="DG185" s="44"/>
      <c r="DH185" s="44"/>
      <c r="DI185" s="44"/>
      <c r="DJ185" s="44"/>
      <c r="DK185" s="44"/>
      <c r="DL185" s="44"/>
      <c r="DM185" s="44"/>
      <c r="DN185" s="44"/>
      <c r="DO185" s="44"/>
      <c r="DP185" s="44"/>
      <c r="DQ185" s="44"/>
      <c r="DR185" s="44"/>
      <c r="DS185" s="44"/>
      <c r="DT185" s="44"/>
      <c r="DU185" s="44"/>
      <c r="DV185" s="44"/>
      <c r="DW185" s="44"/>
      <c r="DX185" s="44"/>
      <c r="DY185" s="44"/>
      <c r="DZ185" s="44"/>
      <c r="EA185" s="44"/>
      <c r="EB185" s="44"/>
      <c r="EC185" s="44"/>
      <c r="ED185" s="44"/>
      <c r="EE185" s="44"/>
      <c r="EF185" s="44"/>
      <c r="EG185" s="44"/>
    </row>
    <row r="186" spans="1:137">
      <c r="A186" s="14"/>
      <c r="B186" s="44"/>
      <c r="C186" s="92"/>
      <c r="D186" s="92"/>
      <c r="E186" s="93"/>
      <c r="F186" s="93"/>
      <c r="G186" s="92"/>
      <c r="H186" s="92"/>
      <c r="I186" s="92"/>
      <c r="J186" s="92"/>
      <c r="K186" s="92"/>
      <c r="L186" s="92"/>
      <c r="M186" s="92"/>
      <c r="N186" s="92"/>
      <c r="O186" s="93"/>
      <c r="P186" s="44"/>
      <c r="Q186" s="44"/>
      <c r="R186" s="44"/>
      <c r="S186" s="45"/>
      <c r="T186" s="4"/>
      <c r="U186" s="4"/>
      <c r="V186" s="4" t="s">
        <v>39</v>
      </c>
      <c r="W186" s="3" t="b">
        <f t="shared" si="8"/>
        <v>1</v>
      </c>
      <c r="X186" s="3" t="b">
        <f t="shared" si="6"/>
        <v>1</v>
      </c>
      <c r="Y186" s="3" t="b">
        <f t="shared" si="9"/>
        <v>1</v>
      </c>
      <c r="Z186" s="12" t="str">
        <f t="shared" si="7"/>
        <v/>
      </c>
      <c r="AA186" s="12"/>
      <c r="AC186" s="4" t="b">
        <f t="shared" si="10"/>
        <v>1</v>
      </c>
      <c r="AD186" s="12" t="str">
        <f t="shared" si="11"/>
        <v/>
      </c>
      <c r="AE186" s="4"/>
      <c r="AF186" s="31" t="str">
        <f>IF(W59=TRUE,"k) Flerfargede malinger","")</f>
        <v/>
      </c>
      <c r="AG186" s="4"/>
      <c r="AH186" s="4"/>
      <c r="AI186" s="4"/>
      <c r="AJ186" s="4"/>
      <c r="AK186" s="4"/>
      <c r="AL186" s="4"/>
      <c r="AM186" s="4"/>
      <c r="AN186" s="4"/>
      <c r="AO186" s="4"/>
      <c r="AP186" s="4"/>
      <c r="AQ186" s="4"/>
      <c r="AR186" s="4"/>
      <c r="AS186" s="10" t="str">
        <f>CONCATENATE(AU193," ",AW193,"
",AU194," ",AW194,"
",AU195," ",AW195)</f>
        <v xml:space="preserve"> 
 </v>
      </c>
      <c r="AT186" s="4"/>
      <c r="AU186" s="4"/>
      <c r="AV186" s="4"/>
      <c r="AW186" s="4"/>
      <c r="AX186" s="4"/>
      <c r="AY186" s="4"/>
      <c r="AZ186" s="4"/>
      <c r="BA186" s="4"/>
      <c r="BB186" s="4"/>
      <c r="BC186" s="4"/>
      <c r="BD186" s="4"/>
      <c r="BE186" s="4"/>
      <c r="BF186" s="4"/>
      <c r="BG186" s="4"/>
      <c r="BH186" s="4"/>
      <c r="BI186" s="4"/>
      <c r="BJ186" s="4"/>
      <c r="BK186" s="4"/>
      <c r="BL186" s="4"/>
      <c r="BM186" s="4"/>
      <c r="BN186" s="4"/>
      <c r="BO186" s="4"/>
      <c r="BP186" s="4"/>
      <c r="BQ186" s="4"/>
      <c r="BR186" s="4"/>
      <c r="BS186" s="4"/>
      <c r="BT186" s="4"/>
      <c r="BU186" s="45"/>
      <c r="BV186" s="45"/>
      <c r="BW186" s="45"/>
      <c r="BX186" s="45"/>
      <c r="BY186" s="45"/>
      <c r="BZ186" s="45"/>
      <c r="CA186" s="45"/>
      <c r="CB186" s="45"/>
      <c r="CC186" s="45"/>
      <c r="CD186" s="45"/>
      <c r="CE186" s="45"/>
      <c r="CF186" s="45"/>
      <c r="CG186" s="44"/>
      <c r="CH186" s="44"/>
      <c r="CI186" s="44"/>
      <c r="CJ186" s="44"/>
      <c r="CK186" s="44"/>
      <c r="CL186" s="44"/>
      <c r="CM186" s="44"/>
      <c r="CN186" s="44"/>
      <c r="CO186" s="44"/>
      <c r="CP186" s="44"/>
      <c r="CQ186" s="44"/>
      <c r="CR186" s="44"/>
      <c r="CS186" s="44"/>
      <c r="CT186" s="44"/>
      <c r="CU186" s="44"/>
      <c r="CV186" s="44"/>
      <c r="CW186" s="44"/>
      <c r="CX186" s="44"/>
      <c r="CY186" s="44"/>
      <c r="CZ186" s="44"/>
      <c r="DA186" s="44"/>
      <c r="DB186" s="44"/>
      <c r="DC186" s="44"/>
      <c r="DD186" s="44"/>
      <c r="DE186" s="44"/>
      <c r="DF186" s="44"/>
      <c r="DG186" s="44"/>
      <c r="DH186" s="44"/>
      <c r="DI186" s="44"/>
      <c r="DJ186" s="44"/>
      <c r="DK186" s="44"/>
      <c r="DL186" s="44"/>
      <c r="DM186" s="44"/>
      <c r="DN186" s="44"/>
      <c r="DO186" s="44"/>
      <c r="DP186" s="44"/>
      <c r="DQ186" s="44"/>
      <c r="DR186" s="44"/>
      <c r="DS186" s="44"/>
      <c r="DT186" s="44"/>
      <c r="DU186" s="44"/>
      <c r="DV186" s="44"/>
      <c r="DW186" s="44"/>
      <c r="DX186" s="44"/>
      <c r="DY186" s="44"/>
      <c r="DZ186" s="44"/>
      <c r="EA186" s="44"/>
      <c r="EB186" s="44"/>
      <c r="EC186" s="44"/>
      <c r="ED186" s="44"/>
      <c r="EE186" s="44"/>
      <c r="EF186" s="44"/>
      <c r="EG186" s="44"/>
    </row>
    <row r="187" spans="1:137">
      <c r="A187" s="14"/>
      <c r="B187" s="44"/>
      <c r="C187" s="92"/>
      <c r="D187" s="92"/>
      <c r="E187" s="93"/>
      <c r="F187" s="93"/>
      <c r="G187" s="92"/>
      <c r="H187" s="92"/>
      <c r="I187" s="92"/>
      <c r="J187" s="92"/>
      <c r="K187" s="92"/>
      <c r="L187" s="92"/>
      <c r="M187" s="92"/>
      <c r="N187" s="92"/>
      <c r="O187" s="93"/>
      <c r="P187" s="44"/>
      <c r="Q187" s="44"/>
      <c r="R187" s="44"/>
      <c r="S187" s="45"/>
      <c r="T187" s="4"/>
      <c r="U187" s="4"/>
      <c r="V187" s="4" t="s">
        <v>31</v>
      </c>
      <c r="W187" s="3" t="b">
        <f t="shared" si="8"/>
        <v>1</v>
      </c>
      <c r="X187" s="3" t="b">
        <f t="shared" si="6"/>
        <v>1</v>
      </c>
      <c r="Y187" s="3" t="b">
        <f t="shared" si="9"/>
        <v>1</v>
      </c>
      <c r="Z187" s="12" t="str">
        <f t="shared" si="7"/>
        <v/>
      </c>
      <c r="AA187" s="12"/>
      <c r="AC187" s="4" t="b">
        <f t="shared" si="10"/>
        <v>1</v>
      </c>
      <c r="AD187" s="12" t="str">
        <f t="shared" si="11"/>
        <v/>
      </c>
      <c r="AE187" s="4"/>
      <c r="AF187" s="31" t="str">
        <f>IF(W59=TRUE,"l) Effektmaling","")</f>
        <v/>
      </c>
      <c r="AG187" s="4"/>
      <c r="AH187" s="4"/>
      <c r="AI187" s="4"/>
      <c r="AJ187" s="4"/>
      <c r="AK187" s="4"/>
      <c r="AL187" s="4"/>
      <c r="AM187" s="4"/>
      <c r="AN187" s="4"/>
      <c r="AO187" s="4"/>
      <c r="AP187" s="4"/>
      <c r="AQ187" s="4"/>
      <c r="AR187" s="4"/>
      <c r="AS187" s="4"/>
      <c r="AT187" s="4"/>
      <c r="AU187" s="4"/>
      <c r="AV187" s="4"/>
      <c r="AW187" s="4"/>
      <c r="AX187" s="4"/>
      <c r="AY187" s="4"/>
      <c r="AZ187" s="4"/>
      <c r="BA187" s="4"/>
      <c r="BB187" s="4"/>
      <c r="BC187" s="4"/>
      <c r="BD187" s="4"/>
      <c r="BE187" s="4"/>
      <c r="BF187" s="4"/>
      <c r="BG187" s="4"/>
      <c r="BH187" s="4"/>
      <c r="BI187" s="4"/>
      <c r="BJ187" s="4"/>
      <c r="BK187" s="4"/>
      <c r="BL187" s="4"/>
      <c r="BM187" s="4"/>
      <c r="BN187" s="4"/>
      <c r="BO187" s="4"/>
      <c r="BP187" s="4"/>
      <c r="BQ187" s="4"/>
      <c r="BR187" s="4"/>
      <c r="BS187" s="4"/>
      <c r="BT187" s="4"/>
      <c r="BU187" s="45"/>
      <c r="BV187" s="45"/>
      <c r="BW187" s="45"/>
      <c r="BX187" s="45"/>
      <c r="BY187" s="45"/>
      <c r="BZ187" s="45"/>
      <c r="CA187" s="45"/>
      <c r="CB187" s="45"/>
      <c r="CC187" s="45"/>
      <c r="CD187" s="45"/>
      <c r="CE187" s="45"/>
      <c r="CF187" s="45"/>
      <c r="CG187" s="44"/>
      <c r="CH187" s="44"/>
      <c r="CI187" s="44"/>
      <c r="CJ187" s="44"/>
      <c r="CK187" s="44"/>
      <c r="CL187" s="44"/>
      <c r="CM187" s="44"/>
      <c r="CN187" s="44"/>
      <c r="CO187" s="44"/>
      <c r="CP187" s="44"/>
      <c r="CQ187" s="44"/>
      <c r="CR187" s="44"/>
      <c r="CS187" s="44"/>
      <c r="CT187" s="44"/>
      <c r="CU187" s="44"/>
      <c r="CV187" s="44"/>
      <c r="CW187" s="44"/>
      <c r="CX187" s="44"/>
      <c r="CY187" s="44"/>
      <c r="CZ187" s="44"/>
      <c r="DA187" s="44"/>
      <c r="DB187" s="44"/>
      <c r="DC187" s="44"/>
      <c r="DD187" s="44"/>
      <c r="DE187" s="44"/>
      <c r="DF187" s="44"/>
      <c r="DG187" s="44"/>
      <c r="DH187" s="44"/>
      <c r="DI187" s="44"/>
      <c r="DJ187" s="44"/>
      <c r="DK187" s="44"/>
      <c r="DL187" s="44"/>
      <c r="DM187" s="44"/>
      <c r="DN187" s="44"/>
      <c r="DO187" s="44"/>
      <c r="DP187" s="44"/>
      <c r="DQ187" s="44"/>
      <c r="DR187" s="44"/>
      <c r="DS187" s="44"/>
      <c r="DT187" s="44"/>
      <c r="DU187" s="44"/>
      <c r="DV187" s="44"/>
      <c r="DW187" s="44"/>
      <c r="DX187" s="44"/>
      <c r="DY187" s="44"/>
      <c r="DZ187" s="44"/>
      <c r="EA187" s="44"/>
      <c r="EB187" s="44"/>
      <c r="EC187" s="44"/>
      <c r="ED187" s="44"/>
      <c r="EE187" s="44"/>
      <c r="EF187" s="44"/>
      <c r="EG187" s="44"/>
    </row>
    <row r="188" spans="1:137">
      <c r="A188" s="14"/>
      <c r="B188" s="44"/>
      <c r="C188" s="92"/>
      <c r="D188" s="92"/>
      <c r="E188" s="93"/>
      <c r="F188" s="93"/>
      <c r="G188" s="92"/>
      <c r="H188" s="92"/>
      <c r="I188" s="92"/>
      <c r="J188" s="92"/>
      <c r="K188" s="92"/>
      <c r="L188" s="92"/>
      <c r="M188" s="92"/>
      <c r="N188" s="92"/>
      <c r="O188" s="93"/>
      <c r="P188" s="44"/>
      <c r="Q188" s="44"/>
      <c r="R188" s="44"/>
      <c r="S188" s="45"/>
      <c r="T188" s="4"/>
      <c r="U188" s="4"/>
      <c r="V188" s="4" t="s">
        <v>40</v>
      </c>
      <c r="W188" s="3" t="b">
        <f>IF(T48=TRUE,TRUE,AND(W178:W187))</f>
        <v>1</v>
      </c>
      <c r="Z188" s="4"/>
      <c r="AA188" s="4"/>
      <c r="AB188" s="4"/>
      <c r="AC188" s="4"/>
      <c r="AD188" s="4"/>
      <c r="AE188" s="4"/>
      <c r="AF188" s="4"/>
      <c r="AG188" s="4"/>
      <c r="AH188" s="4"/>
      <c r="AI188" s="4"/>
      <c r="AJ188" s="4"/>
      <c r="AK188" s="4"/>
      <c r="AL188" s="4"/>
      <c r="AM188" s="4"/>
      <c r="AN188" s="4"/>
      <c r="AO188" s="4"/>
      <c r="AP188" s="4"/>
      <c r="AQ188" s="28" t="str">
        <f>IF(C170="","",C170&amp;" ("&amp;AD178&amp;")")</f>
        <v/>
      </c>
      <c r="AR188" s="28"/>
      <c r="AS188" s="4"/>
      <c r="AT188" s="28" t="str">
        <f>IF(Y178=TRUE,"",IF(W178=TRUE,Z178,Z178))</f>
        <v/>
      </c>
      <c r="AU188" s="4" t="str">
        <f>IF($AC$178=FALSE,"",IF(J170="","",J170))</f>
        <v/>
      </c>
      <c r="AV188" s="4"/>
      <c r="AW188" s="4" t="str">
        <f>IF(AC178=FALSE,"",IF(K170="","",K170))</f>
        <v/>
      </c>
      <c r="AX188" s="4"/>
      <c r="AY188" s="4"/>
      <c r="AZ188" s="4"/>
      <c r="BA188" s="4"/>
      <c r="BB188" s="4"/>
      <c r="BC188" s="4"/>
      <c r="BD188" s="4"/>
      <c r="BE188" s="4"/>
      <c r="BF188" s="4"/>
      <c r="BG188" s="4"/>
      <c r="BH188" s="4"/>
      <c r="BI188" s="4"/>
      <c r="BJ188" s="4"/>
      <c r="BK188" s="4"/>
      <c r="BL188" s="4"/>
      <c r="BM188" s="4"/>
      <c r="BN188" s="4"/>
      <c r="BO188" s="4"/>
      <c r="BP188" s="4"/>
      <c r="BQ188" s="4"/>
      <c r="BR188" s="4"/>
      <c r="BS188" s="4"/>
      <c r="BT188" s="4"/>
      <c r="BU188" s="45"/>
      <c r="BV188" s="45"/>
      <c r="BW188" s="45"/>
      <c r="BX188" s="45"/>
      <c r="BY188" s="45"/>
      <c r="BZ188" s="45"/>
      <c r="CA188" s="45"/>
      <c r="CB188" s="45"/>
      <c r="CC188" s="45"/>
      <c r="CD188" s="45"/>
      <c r="CE188" s="45"/>
      <c r="CF188" s="45"/>
      <c r="CG188" s="44"/>
      <c r="CH188" s="44"/>
      <c r="CI188" s="44"/>
      <c r="CJ188" s="44"/>
      <c r="CK188" s="44"/>
      <c r="CL188" s="44"/>
      <c r="CM188" s="44"/>
      <c r="CN188" s="44"/>
      <c r="CO188" s="44"/>
      <c r="CP188" s="44"/>
      <c r="CQ188" s="44"/>
      <c r="CR188" s="44"/>
      <c r="CS188" s="44"/>
      <c r="CT188" s="44"/>
      <c r="CU188" s="44"/>
      <c r="CV188" s="44"/>
      <c r="CW188" s="44"/>
      <c r="CX188" s="44"/>
      <c r="CY188" s="44"/>
      <c r="CZ188" s="44"/>
      <c r="DA188" s="44"/>
      <c r="DB188" s="44"/>
      <c r="DC188" s="44"/>
      <c r="DD188" s="44"/>
      <c r="DE188" s="44"/>
      <c r="DF188" s="44"/>
      <c r="DG188" s="44"/>
      <c r="DH188" s="44"/>
      <c r="DI188" s="44"/>
      <c r="DJ188" s="44"/>
      <c r="DK188" s="44"/>
      <c r="DL188" s="44"/>
      <c r="DM188" s="44"/>
      <c r="DN188" s="44"/>
      <c r="DO188" s="44"/>
      <c r="DP188" s="44"/>
      <c r="DQ188" s="44"/>
      <c r="DR188" s="44"/>
      <c r="DS188" s="44"/>
      <c r="DT188" s="44"/>
      <c r="DU188" s="44"/>
      <c r="DV188" s="44"/>
      <c r="DW188" s="44"/>
      <c r="DX188" s="44"/>
      <c r="DY188" s="44"/>
      <c r="DZ188" s="44"/>
      <c r="EA188" s="44"/>
      <c r="EB188" s="44"/>
      <c r="EC188" s="44"/>
      <c r="ED188" s="44"/>
      <c r="EE188" s="44"/>
      <c r="EF188" s="44"/>
      <c r="EG188" s="44"/>
    </row>
    <row r="189" spans="1:137">
      <c r="A189" s="14"/>
      <c r="B189" s="44"/>
      <c r="C189" s="92"/>
      <c r="D189" s="92"/>
      <c r="E189" s="93"/>
      <c r="F189" s="93"/>
      <c r="G189" s="92"/>
      <c r="H189" s="92"/>
      <c r="I189" s="92"/>
      <c r="J189" s="92"/>
      <c r="K189" s="92"/>
      <c r="L189" s="92"/>
      <c r="M189" s="92"/>
      <c r="N189" s="92"/>
      <c r="O189" s="93"/>
      <c r="P189" s="44"/>
      <c r="Q189" s="44"/>
      <c r="R189" s="44"/>
      <c r="S189" s="45"/>
      <c r="T189" s="4"/>
      <c r="U189" s="4"/>
      <c r="V189" s="4" t="s">
        <v>41</v>
      </c>
      <c r="W189" s="4" t="s">
        <v>65</v>
      </c>
      <c r="X189" s="4"/>
      <c r="Y189" s="4"/>
      <c r="Z189" s="4"/>
      <c r="AA189" s="4"/>
      <c r="AB189" s="4"/>
      <c r="AC189" s="4"/>
      <c r="AD189" s="4"/>
      <c r="AE189" s="4"/>
      <c r="AF189" s="4"/>
      <c r="AG189" s="4"/>
      <c r="AH189" s="4"/>
      <c r="AI189" s="4"/>
      <c r="AJ189" s="4"/>
      <c r="AK189" s="4"/>
      <c r="AL189" s="4"/>
      <c r="AM189" s="4"/>
      <c r="AN189" s="4"/>
      <c r="AO189" s="4"/>
      <c r="AP189" s="4"/>
      <c r="AQ189" s="28" t="str">
        <f>IF(C171="","",C171&amp;" ("&amp;AD179&amp;")")</f>
        <v/>
      </c>
      <c r="AR189" s="28"/>
      <c r="AS189" s="4"/>
      <c r="AT189" s="28" t="str">
        <f>IF(Y179=TRUE,"",IF(W179=TRUE,Z179,Z179))</f>
        <v/>
      </c>
      <c r="AU189" s="4" t="str">
        <f t="shared" ref="AU189:AU197" si="12">IF($AC$178=FALSE,"",IF(J171="","",J171))</f>
        <v/>
      </c>
      <c r="AV189" s="4"/>
      <c r="AW189" s="4" t="str">
        <f t="shared" ref="AW189:AW197" si="13">IF(AC179=FALSE,"",IF(K171="","",K171))</f>
        <v/>
      </c>
      <c r="AX189" s="4"/>
      <c r="AY189" s="4"/>
      <c r="AZ189" s="4"/>
      <c r="BA189" s="4"/>
      <c r="BB189" s="4"/>
      <c r="BC189" s="4"/>
      <c r="BD189" s="4"/>
      <c r="BE189" s="4"/>
      <c r="BF189" s="4"/>
      <c r="BG189" s="4"/>
      <c r="BH189" s="4"/>
      <c r="BI189" s="4"/>
      <c r="BJ189" s="4"/>
      <c r="BK189" s="4"/>
      <c r="BL189" s="4"/>
      <c r="BM189" s="4"/>
      <c r="BN189" s="4"/>
      <c r="BO189" s="4"/>
      <c r="BP189" s="4"/>
      <c r="BQ189" s="4"/>
      <c r="BR189" s="4"/>
      <c r="BS189" s="4"/>
      <c r="BT189" s="4"/>
      <c r="BU189" s="45"/>
      <c r="BV189" s="45"/>
      <c r="BW189" s="45"/>
      <c r="BX189" s="45"/>
      <c r="BY189" s="45"/>
      <c r="BZ189" s="45"/>
      <c r="CA189" s="45"/>
      <c r="CB189" s="45"/>
      <c r="CC189" s="45"/>
      <c r="CD189" s="45"/>
      <c r="CE189" s="45"/>
      <c r="CF189" s="45"/>
      <c r="CG189" s="44"/>
      <c r="CH189" s="44"/>
      <c r="CI189" s="44"/>
      <c r="CJ189" s="44"/>
      <c r="CK189" s="44"/>
      <c r="CL189" s="44"/>
      <c r="CM189" s="44"/>
      <c r="CN189" s="44"/>
      <c r="CO189" s="44"/>
      <c r="CP189" s="44"/>
      <c r="CQ189" s="44"/>
      <c r="CR189" s="44"/>
      <c r="CS189" s="44"/>
      <c r="CT189" s="44"/>
      <c r="CU189" s="44"/>
      <c r="CV189" s="44"/>
      <c r="CW189" s="44"/>
      <c r="CX189" s="44"/>
      <c r="CY189" s="44"/>
      <c r="CZ189" s="44"/>
      <c r="DA189" s="44"/>
      <c r="DB189" s="44"/>
      <c r="DC189" s="44"/>
      <c r="DD189" s="44"/>
      <c r="DE189" s="44"/>
      <c r="DF189" s="44"/>
      <c r="DG189" s="44"/>
      <c r="DH189" s="44"/>
      <c r="DI189" s="44"/>
      <c r="DJ189" s="44"/>
      <c r="DK189" s="44"/>
      <c r="DL189" s="44"/>
      <c r="DM189" s="44"/>
      <c r="DN189" s="44"/>
      <c r="DO189" s="44"/>
      <c r="DP189" s="44"/>
      <c r="DQ189" s="44"/>
      <c r="DR189" s="44"/>
      <c r="DS189" s="44"/>
      <c r="DT189" s="44"/>
      <c r="DU189" s="44"/>
      <c r="DV189" s="44"/>
      <c r="DW189" s="44"/>
      <c r="DX189" s="44"/>
      <c r="DY189" s="44"/>
      <c r="DZ189" s="44"/>
      <c r="EA189" s="44"/>
      <c r="EB189" s="44"/>
      <c r="EC189" s="44"/>
      <c r="ED189" s="44"/>
      <c r="EE189" s="44"/>
      <c r="EF189" s="44"/>
      <c r="EG189" s="44"/>
    </row>
    <row r="190" spans="1:137">
      <c r="A190" s="14"/>
      <c r="B190" s="44"/>
      <c r="C190" s="92"/>
      <c r="D190" s="92"/>
      <c r="E190" s="93"/>
      <c r="F190" s="93"/>
      <c r="G190" s="92"/>
      <c r="H190" s="92"/>
      <c r="I190" s="92"/>
      <c r="J190" s="92"/>
      <c r="K190" s="92"/>
      <c r="L190" s="92"/>
      <c r="M190" s="92"/>
      <c r="N190" s="92"/>
      <c r="O190" s="93"/>
      <c r="P190" s="44"/>
      <c r="Q190" s="44"/>
      <c r="R190" s="44"/>
      <c r="S190" s="45"/>
      <c r="T190" s="4"/>
      <c r="U190" s="4"/>
      <c r="V190" s="4"/>
      <c r="W190" s="4" t="s">
        <v>64</v>
      </c>
      <c r="X190" s="4"/>
      <c r="Y190" s="4"/>
      <c r="Z190" s="4"/>
      <c r="AA190" s="4"/>
      <c r="AB190" s="4"/>
      <c r="AC190" s="4"/>
      <c r="AD190" s="4"/>
      <c r="AE190" s="4"/>
      <c r="AF190" s="4"/>
      <c r="AG190" s="4"/>
      <c r="AH190" s="4"/>
      <c r="AI190" s="4"/>
      <c r="AJ190" s="4"/>
      <c r="AK190" s="4"/>
      <c r="AL190" s="4"/>
      <c r="AM190" s="4"/>
      <c r="AN190" s="4"/>
      <c r="AO190" s="4"/>
      <c r="AP190" s="4"/>
      <c r="AQ190" s="28" t="str">
        <f>IF(C172="","",C172&amp;" ("&amp;AD180&amp;")")</f>
        <v/>
      </c>
      <c r="AR190" s="28"/>
      <c r="AS190" s="4"/>
      <c r="AT190" s="28" t="str">
        <f>IF(Y180=TRUE,"",IF(W180=TRUE,Z180,Z180))</f>
        <v/>
      </c>
      <c r="AU190" s="4" t="str">
        <f t="shared" si="12"/>
        <v/>
      </c>
      <c r="AV190" s="4"/>
      <c r="AW190" s="4" t="str">
        <f t="shared" si="13"/>
        <v/>
      </c>
      <c r="AX190" s="4"/>
      <c r="AY190" s="4"/>
      <c r="AZ190" s="4"/>
      <c r="BA190" s="4"/>
      <c r="BB190" s="4"/>
      <c r="BC190" s="4"/>
      <c r="BD190" s="4"/>
      <c r="BE190" s="4"/>
      <c r="BF190" s="4"/>
      <c r="BG190" s="4"/>
      <c r="BH190" s="4"/>
      <c r="BI190" s="4"/>
      <c r="BJ190" s="4"/>
      <c r="BK190" s="4"/>
      <c r="BL190" s="4"/>
      <c r="BM190" s="4"/>
      <c r="BN190" s="4"/>
      <c r="BO190" s="4"/>
      <c r="BP190" s="4"/>
      <c r="BQ190" s="4"/>
      <c r="BR190" s="4"/>
      <c r="BS190" s="4"/>
      <c r="BT190" s="4"/>
      <c r="BU190" s="45"/>
      <c r="BV190" s="45"/>
      <c r="BW190" s="45"/>
      <c r="BX190" s="45"/>
      <c r="BY190" s="45"/>
      <c r="BZ190" s="45"/>
      <c r="CA190" s="45"/>
      <c r="CB190" s="45"/>
      <c r="CC190" s="45"/>
      <c r="CD190" s="45"/>
      <c r="CE190" s="45"/>
      <c r="CF190" s="45"/>
      <c r="CG190" s="44"/>
      <c r="CH190" s="44"/>
      <c r="CI190" s="44"/>
      <c r="CJ190" s="44"/>
      <c r="CK190" s="44"/>
      <c r="CL190" s="44"/>
      <c r="CM190" s="44"/>
      <c r="CN190" s="44"/>
      <c r="CO190" s="44"/>
      <c r="CP190" s="44"/>
      <c r="CQ190" s="44"/>
      <c r="CR190" s="44"/>
      <c r="CS190" s="44"/>
      <c r="CT190" s="44"/>
      <c r="CU190" s="44"/>
      <c r="CV190" s="44"/>
      <c r="CW190" s="44"/>
      <c r="CX190" s="44"/>
      <c r="CY190" s="44"/>
      <c r="CZ190" s="44"/>
      <c r="DA190" s="44"/>
      <c r="DB190" s="44"/>
      <c r="DC190" s="44"/>
      <c r="DD190" s="44"/>
      <c r="DE190" s="44"/>
      <c r="DF190" s="44"/>
      <c r="DG190" s="44"/>
      <c r="DH190" s="44"/>
      <c r="DI190" s="44"/>
      <c r="DJ190" s="44"/>
      <c r="DK190" s="44"/>
      <c r="DL190" s="44"/>
      <c r="DM190" s="44"/>
      <c r="DN190" s="44"/>
      <c r="DO190" s="44"/>
      <c r="DP190" s="44"/>
      <c r="DQ190" s="44"/>
      <c r="DR190" s="44"/>
      <c r="DS190" s="44"/>
      <c r="DT190" s="44"/>
      <c r="DU190" s="44"/>
      <c r="DV190" s="44"/>
      <c r="DW190" s="44"/>
      <c r="DX190" s="44"/>
      <c r="DY190" s="44"/>
      <c r="DZ190" s="44"/>
      <c r="EA190" s="44"/>
      <c r="EB190" s="44"/>
      <c r="EC190" s="44"/>
      <c r="ED190" s="44"/>
      <c r="EE190" s="44"/>
      <c r="EF190" s="44"/>
      <c r="EG190" s="44"/>
    </row>
    <row r="191" spans="1:137">
      <c r="A191" s="14"/>
      <c r="B191" s="44"/>
      <c r="C191" s="96"/>
      <c r="D191" s="96"/>
      <c r="E191" s="89"/>
      <c r="F191" s="89"/>
      <c r="G191" s="96"/>
      <c r="H191" s="96"/>
      <c r="I191" s="96"/>
      <c r="J191" s="96"/>
      <c r="K191" s="96"/>
      <c r="L191" s="96"/>
      <c r="M191" s="96"/>
      <c r="N191" s="96"/>
      <c r="O191" s="89"/>
      <c r="P191" s="44"/>
      <c r="Q191" s="44"/>
      <c r="R191" s="44"/>
      <c r="S191" s="45"/>
      <c r="T191" s="4"/>
      <c r="U191" s="4"/>
      <c r="V191" s="4"/>
      <c r="W191" s="4" t="str">
        <f>CONCATENATE(W189,W190)</f>
        <v>* Interiørmaling og lakk har blitt testet mot EN ISO 11890-2:2006 Malinger og lakk. Bestemmelse av VOC-innhold (flyktige organiske forbindelser). Gasskromatografisk metode og tilfredsstiller de maksimale grenseverdiene for VOC-innhold i fase II som fastsatt i tillegg II til direktiv 2004/42/EC om interiørmaling.  All interiørmaling og lakk er dessuten også motstandsdyktig mot sopp og alger (før påføring).</v>
      </c>
      <c r="X191" s="4"/>
      <c r="Y191" s="4"/>
      <c r="Z191" s="4"/>
      <c r="AA191" s="4"/>
      <c r="AB191" s="4"/>
      <c r="AC191" s="4"/>
      <c r="AD191" s="4"/>
      <c r="AE191" s="4"/>
      <c r="AF191" s="4"/>
      <c r="AG191" s="4"/>
      <c r="AH191" s="4"/>
      <c r="AI191" s="4"/>
      <c r="AJ191" s="4"/>
      <c r="AK191" s="4"/>
      <c r="AL191" s="4"/>
      <c r="AM191" s="4"/>
      <c r="AN191" s="4"/>
      <c r="AO191" s="4"/>
      <c r="AP191" s="4"/>
      <c r="AQ191" s="28" t="str">
        <f>IF(C175="","",C175&amp;" ("&amp;AD183&amp;")")</f>
        <v/>
      </c>
      <c r="AR191" s="28"/>
      <c r="AS191" s="4"/>
      <c r="AT191" s="28" t="str">
        <f>IF(Y183=TRUE,"",IF(W183=TRUE,Z183))</f>
        <v/>
      </c>
      <c r="AU191" s="4" t="str">
        <f t="shared" si="12"/>
        <v/>
      </c>
      <c r="AV191" s="4"/>
      <c r="AW191" s="4" t="str">
        <f t="shared" si="13"/>
        <v/>
      </c>
      <c r="AX191" s="4"/>
      <c r="AY191" s="4"/>
      <c r="AZ191" s="4"/>
      <c r="BA191" s="4"/>
      <c r="BB191" s="4"/>
      <c r="BC191" s="4"/>
      <c r="BD191" s="4"/>
      <c r="BE191" s="4"/>
      <c r="BF191" s="4"/>
      <c r="BG191" s="4"/>
      <c r="BH191" s="4"/>
      <c r="BI191" s="4"/>
      <c r="BJ191" s="4"/>
      <c r="BK191" s="4"/>
      <c r="BL191" s="4"/>
      <c r="BM191" s="4"/>
      <c r="BN191" s="4"/>
      <c r="BO191" s="4"/>
      <c r="BP191" s="4"/>
      <c r="BQ191" s="4"/>
      <c r="BR191" s="4"/>
      <c r="BS191" s="4"/>
      <c r="BT191" s="4"/>
      <c r="BU191" s="45"/>
      <c r="BV191" s="45"/>
      <c r="BW191" s="45"/>
      <c r="BX191" s="45"/>
      <c r="BY191" s="45"/>
      <c r="BZ191" s="45"/>
      <c r="CA191" s="45"/>
      <c r="CB191" s="45"/>
      <c r="CC191" s="45"/>
      <c r="CD191" s="45"/>
      <c r="CE191" s="45"/>
      <c r="CF191" s="45"/>
      <c r="CG191" s="44"/>
      <c r="CH191" s="44"/>
      <c r="CI191" s="44"/>
      <c r="CJ191" s="44"/>
      <c r="CK191" s="44"/>
      <c r="CL191" s="44"/>
      <c r="CM191" s="44"/>
      <c r="CN191" s="44"/>
      <c r="CO191" s="44"/>
      <c r="CP191" s="44"/>
      <c r="CQ191" s="44"/>
      <c r="CR191" s="44"/>
      <c r="CS191" s="44"/>
      <c r="CT191" s="44"/>
      <c r="CU191" s="44"/>
      <c r="CV191" s="44"/>
      <c r="CW191" s="44"/>
      <c r="CX191" s="44"/>
      <c r="CY191" s="44"/>
      <c r="CZ191" s="44"/>
      <c r="DA191" s="44"/>
      <c r="DB191" s="44"/>
      <c r="DC191" s="44"/>
      <c r="DD191" s="44"/>
      <c r="DE191" s="44"/>
      <c r="DF191" s="44"/>
      <c r="DG191" s="44"/>
      <c r="DH191" s="44"/>
      <c r="DI191" s="44"/>
      <c r="DJ191" s="44"/>
      <c r="DK191" s="44"/>
      <c r="DL191" s="44"/>
      <c r="DM191" s="44"/>
      <c r="DN191" s="44"/>
      <c r="DO191" s="44"/>
      <c r="DP191" s="44"/>
      <c r="DQ191" s="44"/>
      <c r="DR191" s="44"/>
      <c r="DS191" s="44"/>
      <c r="DT191" s="44"/>
      <c r="DU191" s="44"/>
      <c r="DV191" s="44"/>
      <c r="DW191" s="44"/>
      <c r="DX191" s="44"/>
      <c r="DY191" s="44"/>
      <c r="DZ191" s="44"/>
      <c r="EA191" s="44"/>
      <c r="EB191" s="44"/>
      <c r="EC191" s="44"/>
      <c r="ED191" s="44"/>
      <c r="EE191" s="44"/>
      <c r="EF191" s="44"/>
      <c r="EG191" s="44"/>
    </row>
    <row r="192" spans="1:137">
      <c r="A192" s="14"/>
      <c r="B192" s="44"/>
      <c r="C192" s="96"/>
      <c r="D192" s="96"/>
      <c r="E192" s="89"/>
      <c r="F192" s="89"/>
      <c r="G192" s="96"/>
      <c r="H192" s="96"/>
      <c r="I192" s="96"/>
      <c r="J192" s="96"/>
      <c r="K192" s="96"/>
      <c r="L192" s="96"/>
      <c r="M192" s="96"/>
      <c r="N192" s="96"/>
      <c r="O192" s="89"/>
      <c r="P192" s="44"/>
      <c r="Q192" s="44"/>
      <c r="R192" s="44"/>
      <c r="S192" s="45"/>
      <c r="T192" s="4"/>
      <c r="U192" s="4"/>
      <c r="V192" s="4"/>
      <c r="W192" s="4"/>
      <c r="X192" s="4"/>
      <c r="Y192" s="4"/>
      <c r="Z192" s="4"/>
      <c r="AA192" s="4"/>
      <c r="AB192" s="4"/>
      <c r="AC192" s="4"/>
      <c r="AD192" s="4"/>
      <c r="AE192" s="4"/>
      <c r="AF192" s="32"/>
      <c r="AG192" s="33"/>
      <c r="AH192" s="4"/>
      <c r="AI192" s="4"/>
      <c r="AJ192" s="4"/>
      <c r="AK192" s="4"/>
      <c r="AL192" s="4"/>
      <c r="AM192" s="4"/>
      <c r="AN192" s="4"/>
      <c r="AO192" s="4"/>
      <c r="AP192" s="4"/>
      <c r="AQ192" s="28" t="str">
        <f>IF(C176="","",C176&amp;" ("&amp;AD184&amp;")")</f>
        <v/>
      </c>
      <c r="AR192" s="28"/>
      <c r="AS192" s="4"/>
      <c r="AT192" s="28" t="str">
        <f>IF(Y184=TRUE,"",IF(W184=TRUE,Z184,Z184))</f>
        <v/>
      </c>
      <c r="AU192" s="4" t="str">
        <f t="shared" si="12"/>
        <v/>
      </c>
      <c r="AV192" s="4"/>
      <c r="AW192" s="4" t="str">
        <f t="shared" si="13"/>
        <v/>
      </c>
      <c r="AX192" s="4"/>
      <c r="AY192" s="4"/>
      <c r="AZ192" s="4"/>
      <c r="BA192" s="4"/>
      <c r="BB192" s="4"/>
      <c r="BC192" s="4"/>
      <c r="BD192" s="4"/>
      <c r="BE192" s="4"/>
      <c r="BF192" s="4"/>
      <c r="BG192" s="4"/>
      <c r="BH192" s="4"/>
      <c r="BI192" s="4"/>
      <c r="BJ192" s="4"/>
      <c r="BK192" s="4"/>
      <c r="BL192" s="4"/>
      <c r="BM192" s="4"/>
      <c r="BN192" s="4"/>
      <c r="BO192" s="4"/>
      <c r="BP192" s="4"/>
      <c r="BQ192" s="4"/>
      <c r="BR192" s="4"/>
      <c r="BS192" s="4"/>
      <c r="BT192" s="4"/>
      <c r="BU192" s="45"/>
      <c r="BV192" s="45"/>
      <c r="BW192" s="45"/>
      <c r="BX192" s="45"/>
      <c r="BY192" s="45"/>
      <c r="BZ192" s="45"/>
      <c r="CA192" s="45"/>
      <c r="CB192" s="45"/>
      <c r="CC192" s="45"/>
      <c r="CD192" s="45"/>
      <c r="CE192" s="45"/>
      <c r="CF192" s="45"/>
      <c r="CG192" s="44"/>
      <c r="CH192" s="44"/>
      <c r="CI192" s="44"/>
      <c r="CJ192" s="44"/>
      <c r="CK192" s="44"/>
      <c r="CL192" s="44"/>
      <c r="CM192" s="44"/>
      <c r="CN192" s="44"/>
      <c r="CO192" s="44"/>
      <c r="CP192" s="44"/>
      <c r="CQ192" s="44"/>
      <c r="CR192" s="44"/>
      <c r="CS192" s="44"/>
      <c r="CT192" s="44"/>
      <c r="CU192" s="44"/>
      <c r="CV192" s="44"/>
      <c r="CW192" s="44"/>
      <c r="CX192" s="44"/>
      <c r="CY192" s="44"/>
      <c r="CZ192" s="44"/>
      <c r="DA192" s="44"/>
      <c r="DB192" s="44"/>
      <c r="DC192" s="44"/>
      <c r="DD192" s="44"/>
      <c r="DE192" s="44"/>
      <c r="DF192" s="44"/>
      <c r="DG192" s="44"/>
      <c r="DH192" s="44"/>
      <c r="DI192" s="44"/>
      <c r="DJ192" s="44"/>
      <c r="DK192" s="44"/>
      <c r="DL192" s="44"/>
      <c r="DM192" s="44"/>
      <c r="DN192" s="44"/>
      <c r="DO192" s="44"/>
      <c r="DP192" s="44"/>
      <c r="DQ192" s="44"/>
      <c r="DR192" s="44"/>
      <c r="DS192" s="44"/>
      <c r="DT192" s="44"/>
      <c r="DU192" s="44"/>
      <c r="DV192" s="44"/>
      <c r="DW192" s="44"/>
      <c r="DX192" s="44"/>
      <c r="DY192" s="44"/>
      <c r="DZ192" s="44"/>
      <c r="EA192" s="44"/>
      <c r="EB192" s="44"/>
      <c r="EC192" s="44"/>
      <c r="ED192" s="44"/>
      <c r="EE192" s="44"/>
      <c r="EF192" s="44"/>
      <c r="EG192" s="44"/>
    </row>
    <row r="193" spans="1:137">
      <c r="A193" s="14"/>
      <c r="B193" s="44"/>
      <c r="C193" s="89"/>
      <c r="D193" s="89"/>
      <c r="E193" s="89"/>
      <c r="F193" s="89"/>
      <c r="G193" s="89"/>
      <c r="H193" s="89"/>
      <c r="I193" s="89"/>
      <c r="J193" s="89"/>
      <c r="K193" s="89"/>
      <c r="L193" s="89"/>
      <c r="M193" s="89"/>
      <c r="N193" s="89"/>
      <c r="O193" s="89"/>
      <c r="P193" s="44"/>
      <c r="Q193" s="44"/>
      <c r="R193" s="44"/>
      <c r="S193" s="44"/>
      <c r="AF193" s="32"/>
      <c r="AG193" s="33"/>
      <c r="AU193" s="4" t="str">
        <f t="shared" si="12"/>
        <v/>
      </c>
      <c r="AW193" s="4" t="str">
        <f t="shared" si="13"/>
        <v/>
      </c>
      <c r="BU193" s="45"/>
      <c r="BV193" s="45"/>
      <c r="BW193" s="45"/>
      <c r="BX193" s="45"/>
      <c r="BY193" s="45"/>
      <c r="BZ193" s="45"/>
      <c r="CA193" s="45"/>
      <c r="CB193" s="45"/>
      <c r="CC193" s="45"/>
      <c r="CD193" s="45"/>
      <c r="CE193" s="44"/>
      <c r="CF193" s="44"/>
      <c r="CG193" s="44"/>
      <c r="CH193" s="44"/>
      <c r="CI193" s="44"/>
      <c r="CJ193" s="44"/>
      <c r="CK193" s="44"/>
      <c r="CL193" s="44"/>
      <c r="CM193" s="44"/>
      <c r="CN193" s="44"/>
      <c r="CO193" s="44"/>
      <c r="CP193" s="44"/>
      <c r="CQ193" s="44"/>
      <c r="CR193" s="44"/>
      <c r="CS193" s="44"/>
      <c r="CT193" s="44"/>
      <c r="CU193" s="44"/>
      <c r="CV193" s="44"/>
      <c r="CW193" s="44"/>
      <c r="CX193" s="44"/>
      <c r="CY193" s="44"/>
      <c r="CZ193" s="44"/>
      <c r="DA193" s="44"/>
      <c r="DB193" s="44"/>
      <c r="DC193" s="44"/>
      <c r="DD193" s="44"/>
      <c r="DE193" s="44"/>
      <c r="DF193" s="44"/>
      <c r="DG193" s="44"/>
      <c r="DH193" s="44"/>
      <c r="DI193" s="44"/>
      <c r="DJ193" s="44"/>
      <c r="DK193" s="44"/>
      <c r="DL193" s="44"/>
      <c r="DM193" s="44"/>
      <c r="DN193" s="44"/>
      <c r="DO193" s="44"/>
      <c r="DP193" s="44"/>
      <c r="DQ193" s="44"/>
      <c r="DR193" s="44"/>
      <c r="DS193" s="44"/>
      <c r="DT193" s="44"/>
      <c r="DU193" s="44"/>
      <c r="DV193" s="44"/>
      <c r="DW193" s="44"/>
      <c r="DX193" s="44"/>
      <c r="DY193" s="44"/>
      <c r="DZ193" s="44"/>
      <c r="EA193" s="44"/>
      <c r="EB193" s="44"/>
      <c r="EC193" s="44"/>
      <c r="ED193" s="44"/>
      <c r="EE193" s="44"/>
      <c r="EF193" s="44"/>
      <c r="EG193" s="44"/>
    </row>
    <row r="194" spans="1:137" ht="18.75">
      <c r="A194" s="14"/>
      <c r="B194" s="44"/>
      <c r="C194" s="44"/>
      <c r="D194" s="44"/>
      <c r="E194" s="44"/>
      <c r="F194" s="44"/>
      <c r="G194" s="44"/>
      <c r="H194" s="44"/>
      <c r="I194" s="44"/>
      <c r="J194" s="44"/>
      <c r="K194" s="44"/>
      <c r="L194" s="44"/>
      <c r="M194" s="44"/>
      <c r="N194" s="44"/>
      <c r="O194" s="44"/>
      <c r="P194" s="44"/>
      <c r="Q194" s="44"/>
      <c r="R194" s="44"/>
      <c r="S194" s="97"/>
      <c r="AF194" s="32"/>
      <c r="AG194" s="33"/>
      <c r="AU194" s="4" t="str">
        <f t="shared" si="12"/>
        <v/>
      </c>
      <c r="AW194" s="4" t="str">
        <f t="shared" si="13"/>
        <v/>
      </c>
      <c r="BK194" s="3" t="str">
        <f>IF(V5=2,"Kriteriene er kvalitetssikret av NGBC, og samsvarer med teknisk manual versjon 1.0 2012",IF(V5=3,"Kriteriene er kvalitetssikret av NGBC, og samsvarer med teknisk manual versjon 1.0. 2016",""))</f>
        <v/>
      </c>
      <c r="BU194" s="134" t="str">
        <f>C2</f>
        <v>Egendeklarasjon BREEAM-NOR</v>
      </c>
      <c r="BV194" s="16"/>
      <c r="BW194" s="16"/>
      <c r="BX194" s="16"/>
      <c r="BY194" s="16"/>
      <c r="BZ194" s="16"/>
      <c r="CA194" s="16"/>
      <c r="CB194" s="16"/>
      <c r="CC194" s="16"/>
      <c r="CD194" s="16"/>
      <c r="CE194" s="45"/>
      <c r="CF194" s="44"/>
      <c r="CG194" s="44"/>
      <c r="CH194" s="44"/>
      <c r="CI194" s="44"/>
      <c r="CJ194" s="44"/>
      <c r="CK194" s="44"/>
      <c r="CL194" s="44"/>
      <c r="CM194" s="44"/>
      <c r="CN194" s="44"/>
      <c r="CO194" s="44"/>
      <c r="CP194" s="44"/>
      <c r="CQ194" s="44"/>
      <c r="CR194" s="44"/>
      <c r="CS194" s="44"/>
      <c r="CT194" s="44"/>
      <c r="CU194" s="44"/>
      <c r="CV194" s="44"/>
      <c r="CW194" s="44"/>
      <c r="CX194" s="44"/>
      <c r="CY194" s="44"/>
      <c r="CZ194" s="44"/>
      <c r="DA194" s="44"/>
      <c r="DB194" s="44"/>
      <c r="DC194" s="44"/>
      <c r="DD194" s="44"/>
      <c r="DE194" s="44"/>
      <c r="DF194" s="44"/>
      <c r="DG194" s="44"/>
      <c r="DH194" s="44"/>
      <c r="DI194" s="44"/>
      <c r="DJ194" s="44"/>
      <c r="DK194" s="44"/>
      <c r="DL194" s="44"/>
      <c r="DM194" s="44"/>
      <c r="DN194" s="44"/>
      <c r="DO194" s="44"/>
      <c r="DP194" s="44"/>
      <c r="DQ194" s="44"/>
      <c r="DR194" s="44"/>
      <c r="DS194" s="44"/>
      <c r="DT194" s="44"/>
      <c r="DU194" s="44"/>
      <c r="DV194" s="44"/>
      <c r="DW194" s="44"/>
      <c r="DX194" s="44"/>
      <c r="DY194" s="44"/>
      <c r="DZ194" s="44"/>
      <c r="EA194" s="44"/>
      <c r="EB194" s="44"/>
      <c r="EC194" s="44"/>
      <c r="ED194" s="44"/>
      <c r="EE194" s="44"/>
      <c r="EF194" s="44"/>
      <c r="EG194" s="44"/>
    </row>
    <row r="195" spans="1:137" ht="15" customHeight="1">
      <c r="A195" s="14"/>
      <c r="B195" s="44"/>
      <c r="C195" s="44"/>
      <c r="D195" s="44"/>
      <c r="E195" s="44"/>
      <c r="F195" s="44"/>
      <c r="G195" s="44"/>
      <c r="H195" s="44"/>
      <c r="I195" s="44"/>
      <c r="J195" s="44"/>
      <c r="K195" s="44"/>
      <c r="L195" s="44"/>
      <c r="M195" s="44"/>
      <c r="N195" s="44"/>
      <c r="O195" s="202" t="s">
        <v>47</v>
      </c>
      <c r="P195" s="44"/>
      <c r="Q195" s="44"/>
      <c r="R195" s="44"/>
      <c r="S195" s="97"/>
      <c r="AF195" s="32"/>
      <c r="AG195" s="33"/>
      <c r="AU195" s="4" t="str">
        <f t="shared" si="12"/>
        <v/>
      </c>
      <c r="AW195" s="4" t="str">
        <f t="shared" si="13"/>
        <v/>
      </c>
      <c r="BU195" s="192" t="str">
        <f>IF(AND(V5=2,R48=1,R52=1),"Egendeklarasjon på at produkter tilfredsstiller krav i BREEAM-NOR i henhold til teknisk manual 2012",IF(AND(V5=3,R48=1,R52=3),"Egendeklarasjon på at produkter tilfredsstiller krav i BREEAM-NOR i henhold til teknisk manual 2016",IF(AND(V5=2,R48=2,R52=1),"Egendeklarasjon på at produkter tilfredsstiller A-20 krav i BREEAM-NOR i henhold til teknisk manual 2012",IF(AND(V5=2,R48=2,R52=2),"Egendeklarasjon på at produkter tilfredsstiller A20-krav i BREEAM-NOR for prosjekter registrert mellom 14.03.2012 til 30.03.2013",IF(AND(V5=2,R48=3,R52=2),"Egendeklarasjon på at produkter tilfredsstiller HEA 9-krav i BREEAM-NOR for prosjekter registrert mellom 14.03.2012 til 31.08.2016",IF(AND(V5=3,R48,2,R52=1),"",IF(AND(V5=2,R48=2,R52=3),"Egendeklarasjon på at produkter tilfredsstiller A20-krav i BREEAM-NOR for prosjekter registrert mellom 30.03.2013 til 31.08.2016",IF(AND(V5=3,R48,3,R52&gt;=1),"Egendeklarasjon på at produkter tilfredsstiller HEA 02-krav i BREEAM-NOR for prosjekter registrert etter 31.08.2016",IF(AND(V5=3,R48,2,R52=3),"","")))))))))</f>
        <v/>
      </c>
      <c r="BV195" s="192"/>
      <c r="BW195" s="192"/>
      <c r="BX195" s="192"/>
      <c r="BY195" s="192"/>
      <c r="BZ195" s="192"/>
      <c r="CA195" s="192"/>
      <c r="CB195" s="192"/>
      <c r="CC195" s="192"/>
      <c r="CD195" s="192"/>
      <c r="CE195" s="45"/>
      <c r="CF195" s="44"/>
      <c r="CG195" s="44"/>
      <c r="CH195" s="44"/>
      <c r="CI195" s="44"/>
      <c r="CJ195" s="44"/>
      <c r="CK195" s="44"/>
      <c r="CL195" s="44"/>
      <c r="CM195" s="44"/>
      <c r="CN195" s="44"/>
      <c r="CO195" s="44"/>
      <c r="CP195" s="44"/>
      <c r="CQ195" s="44"/>
      <c r="CR195" s="44"/>
      <c r="CS195" s="44"/>
      <c r="CT195" s="44"/>
      <c r="CU195" s="44"/>
      <c r="CV195" s="44"/>
      <c r="CW195" s="44"/>
      <c r="CX195" s="44"/>
      <c r="CY195" s="44"/>
      <c r="CZ195" s="44"/>
      <c r="DA195" s="44"/>
      <c r="DB195" s="44"/>
      <c r="DC195" s="44"/>
      <c r="DD195" s="44"/>
      <c r="DE195" s="44"/>
      <c r="DF195" s="44"/>
      <c r="DG195" s="44"/>
      <c r="DH195" s="44"/>
      <c r="DI195" s="44"/>
      <c r="DJ195" s="44"/>
      <c r="DK195" s="44"/>
      <c r="DL195" s="44"/>
      <c r="DM195" s="44"/>
      <c r="DN195" s="44"/>
      <c r="DO195" s="44"/>
      <c r="DP195" s="44"/>
      <c r="DQ195" s="44"/>
      <c r="DR195" s="44"/>
      <c r="DS195" s="44"/>
      <c r="DT195" s="44"/>
      <c r="DU195" s="44"/>
      <c r="DV195" s="44"/>
      <c r="DW195" s="44"/>
      <c r="DX195" s="44"/>
      <c r="DY195" s="44"/>
      <c r="DZ195" s="44"/>
      <c r="EA195" s="44"/>
      <c r="EB195" s="44"/>
      <c r="EC195" s="44"/>
      <c r="ED195" s="44"/>
      <c r="EE195" s="44"/>
      <c r="EF195" s="44"/>
      <c r="EG195" s="44"/>
    </row>
    <row r="196" spans="1:137" ht="9.75" customHeight="1">
      <c r="A196" s="14"/>
      <c r="B196" s="44"/>
      <c r="C196" s="44"/>
      <c r="D196" s="44"/>
      <c r="E196" s="44"/>
      <c r="F196" s="44"/>
      <c r="G196" s="44"/>
      <c r="H196" s="44"/>
      <c r="I196" s="44"/>
      <c r="J196" s="44"/>
      <c r="K196" s="44"/>
      <c r="L196" s="44"/>
      <c r="M196" s="44"/>
      <c r="N196" s="44"/>
      <c r="O196" s="202"/>
      <c r="P196" s="44"/>
      <c r="Q196" s="44"/>
      <c r="R196" s="44"/>
      <c r="S196" s="97"/>
      <c r="AF196" s="32"/>
      <c r="AG196" s="33"/>
      <c r="AU196" s="4" t="str">
        <f t="shared" si="12"/>
        <v/>
      </c>
      <c r="AW196" s="4" t="str">
        <f t="shared" si="13"/>
        <v/>
      </c>
      <c r="BU196" s="193"/>
      <c r="BV196" s="193"/>
      <c r="BW196" s="193"/>
      <c r="BX196" s="193"/>
      <c r="BY196" s="193"/>
      <c r="BZ196" s="193"/>
      <c r="CA196" s="193"/>
      <c r="CB196" s="193"/>
      <c r="CC196" s="193"/>
      <c r="CD196" s="193"/>
      <c r="CE196" s="45"/>
      <c r="CF196" s="44"/>
      <c r="CG196" s="44"/>
      <c r="CH196" s="44"/>
      <c r="CI196" s="44"/>
      <c r="CJ196" s="44"/>
      <c r="CK196" s="44"/>
      <c r="CL196" s="44"/>
      <c r="CM196" s="44"/>
      <c r="CN196" s="44"/>
      <c r="CO196" s="44"/>
      <c r="CP196" s="44"/>
      <c r="CQ196" s="44"/>
      <c r="CR196" s="44"/>
      <c r="CS196" s="44"/>
      <c r="CT196" s="44"/>
      <c r="CU196" s="44"/>
      <c r="CV196" s="44"/>
      <c r="CW196" s="44"/>
      <c r="CX196" s="44"/>
      <c r="CY196" s="44"/>
      <c r="CZ196" s="44"/>
      <c r="DA196" s="44"/>
      <c r="DB196" s="44"/>
      <c r="DC196" s="44"/>
      <c r="DD196" s="44"/>
      <c r="DE196" s="44"/>
      <c r="DF196" s="44"/>
      <c r="DG196" s="44"/>
      <c r="DH196" s="44"/>
      <c r="DI196" s="44"/>
      <c r="DJ196" s="44"/>
      <c r="DK196" s="44"/>
      <c r="DL196" s="44"/>
      <c r="DM196" s="44"/>
      <c r="DN196" s="44"/>
      <c r="DO196" s="44"/>
      <c r="DP196" s="44"/>
      <c r="DQ196" s="44"/>
      <c r="DR196" s="44"/>
      <c r="DS196" s="44"/>
      <c r="DT196" s="44"/>
      <c r="DU196" s="44"/>
      <c r="DV196" s="44"/>
      <c r="DW196" s="44"/>
      <c r="DX196" s="44"/>
      <c r="DY196" s="44"/>
      <c r="DZ196" s="44"/>
      <c r="EA196" s="44"/>
      <c r="EB196" s="44"/>
      <c r="EC196" s="44"/>
      <c r="ED196" s="44"/>
      <c r="EE196" s="44"/>
      <c r="EF196" s="44"/>
      <c r="EG196" s="44"/>
    </row>
    <row r="197" spans="1:137">
      <c r="A197" s="14"/>
      <c r="B197" s="44"/>
      <c r="C197" s="44"/>
      <c r="D197" s="44"/>
      <c r="E197" s="44"/>
      <c r="F197" s="44"/>
      <c r="G197" s="44"/>
      <c r="H197" s="44"/>
      <c r="I197" s="44"/>
      <c r="J197" s="44"/>
      <c r="K197" s="44"/>
      <c r="L197" s="44"/>
      <c r="M197" s="44"/>
      <c r="N197" s="44"/>
      <c r="O197" s="44"/>
      <c r="P197" s="44"/>
      <c r="Q197" s="44"/>
      <c r="R197" s="44"/>
      <c r="S197" s="97"/>
      <c r="AF197" s="32"/>
      <c r="AG197" s="33"/>
      <c r="AU197" s="4" t="str">
        <f t="shared" si="12"/>
        <v/>
      </c>
      <c r="AW197" s="4" t="str">
        <f t="shared" si="13"/>
        <v/>
      </c>
      <c r="BU197" s="75"/>
      <c r="BV197" s="75"/>
      <c r="BW197" s="75"/>
      <c r="BX197" s="75"/>
      <c r="BY197" s="75"/>
      <c r="BZ197" s="75"/>
      <c r="CA197" s="75"/>
      <c r="CB197" s="75"/>
      <c r="CC197" s="75"/>
      <c r="CD197" s="75"/>
      <c r="CE197" s="45"/>
      <c r="CF197" s="44"/>
      <c r="CG197" s="44"/>
      <c r="CH197" s="44"/>
      <c r="CI197" s="44"/>
      <c r="CJ197" s="44"/>
      <c r="CK197" s="44"/>
      <c r="CL197" s="44"/>
      <c r="CM197" s="44"/>
      <c r="CN197" s="44"/>
      <c r="CO197" s="44"/>
      <c r="CP197" s="44"/>
      <c r="CQ197" s="44"/>
      <c r="CR197" s="44"/>
      <c r="CS197" s="44"/>
      <c r="CT197" s="44"/>
      <c r="CU197" s="44"/>
      <c r="CV197" s="44"/>
      <c r="CW197" s="44"/>
      <c r="CX197" s="44"/>
      <c r="CY197" s="44"/>
      <c r="CZ197" s="44"/>
      <c r="DA197" s="44"/>
      <c r="DB197" s="44"/>
      <c r="DC197" s="44"/>
      <c r="DD197" s="44"/>
      <c r="DE197" s="44"/>
      <c r="DF197" s="44"/>
      <c r="DG197" s="44"/>
      <c r="DH197" s="44"/>
      <c r="DI197" s="44"/>
      <c r="DJ197" s="44"/>
      <c r="DK197" s="44"/>
      <c r="DL197" s="44"/>
      <c r="DM197" s="44"/>
      <c r="DN197" s="44"/>
      <c r="DO197" s="44"/>
      <c r="DP197" s="44"/>
      <c r="DQ197" s="44"/>
      <c r="DR197" s="44"/>
      <c r="DS197" s="44"/>
      <c r="DT197" s="44"/>
      <c r="DU197" s="44"/>
      <c r="DV197" s="44"/>
      <c r="DW197" s="44"/>
      <c r="DX197" s="44"/>
      <c r="DY197" s="44"/>
      <c r="DZ197" s="44"/>
      <c r="EA197" s="44"/>
      <c r="EB197" s="44"/>
      <c r="EC197" s="44"/>
      <c r="ED197" s="44"/>
      <c r="EE197" s="44"/>
      <c r="EF197" s="44"/>
      <c r="EG197" s="44"/>
    </row>
    <row r="198" spans="1:137" ht="15" customHeight="1">
      <c r="A198" s="14"/>
      <c r="B198" s="44"/>
      <c r="C198" s="44"/>
      <c r="D198" s="44"/>
      <c r="E198" s="44"/>
      <c r="F198" s="44"/>
      <c r="G198" s="44"/>
      <c r="H198" s="44"/>
      <c r="I198" s="44"/>
      <c r="J198" s="44"/>
      <c r="K198" s="44"/>
      <c r="L198" s="44"/>
      <c r="M198" s="44"/>
      <c r="N198" s="44"/>
      <c r="O198" s="44"/>
      <c r="P198" s="44"/>
      <c r="Q198" s="44"/>
      <c r="R198" s="44"/>
      <c r="S198" s="97"/>
      <c r="AF198" s="32"/>
      <c r="AG198" s="33"/>
      <c r="BQ198" s="3" t="b">
        <f>IF(AND(V5=3,R48=3,R60=2,S62=TRUE),TRUE,FALSE)</f>
        <v>0</v>
      </c>
      <c r="BU198" s="75"/>
      <c r="BV198" s="75"/>
      <c r="BW198" s="75"/>
      <c r="BX198" s="75"/>
      <c r="BY198" s="198" t="str">
        <f>BK194</f>
        <v/>
      </c>
      <c r="BZ198" s="198"/>
      <c r="CA198" s="198"/>
      <c r="CB198" s="198"/>
      <c r="CC198" s="75"/>
      <c r="CD198" s="75"/>
      <c r="CE198" s="45"/>
      <c r="CF198" s="44"/>
      <c r="CG198" s="44"/>
      <c r="CH198" s="44"/>
      <c r="CI198" s="44"/>
      <c r="CJ198" s="44"/>
      <c r="CK198" s="44"/>
      <c r="CL198" s="44"/>
      <c r="CM198" s="44"/>
      <c r="CN198" s="44"/>
      <c r="CO198" s="44"/>
      <c r="CP198" s="44"/>
      <c r="CQ198" s="44"/>
      <c r="CR198" s="44"/>
      <c r="CS198" s="44"/>
      <c r="CT198" s="44"/>
      <c r="CU198" s="44"/>
      <c r="CV198" s="44"/>
      <c r="CW198" s="44"/>
      <c r="CX198" s="44"/>
      <c r="CY198" s="44"/>
      <c r="CZ198" s="44"/>
      <c r="DA198" s="44"/>
      <c r="DB198" s="44"/>
      <c r="DC198" s="44"/>
      <c r="DD198" s="44"/>
      <c r="DE198" s="44"/>
      <c r="DF198" s="44"/>
      <c r="DG198" s="44"/>
      <c r="DH198" s="44"/>
      <c r="DI198" s="44"/>
      <c r="DJ198" s="44"/>
      <c r="DK198" s="44"/>
      <c r="DL198" s="44"/>
      <c r="DM198" s="44"/>
      <c r="DN198" s="44"/>
      <c r="DO198" s="44"/>
      <c r="DP198" s="44"/>
      <c r="DQ198" s="44"/>
      <c r="DR198" s="44"/>
      <c r="DS198" s="44"/>
      <c r="DT198" s="44"/>
      <c r="DU198" s="44"/>
      <c r="DV198" s="44"/>
      <c r="DW198" s="44"/>
      <c r="DX198" s="44"/>
      <c r="DY198" s="44"/>
      <c r="DZ198" s="44"/>
      <c r="EA198" s="44"/>
      <c r="EB198" s="44"/>
      <c r="EC198" s="44"/>
      <c r="ED198" s="44"/>
      <c r="EE198" s="44"/>
      <c r="EF198" s="44"/>
      <c r="EG198" s="44"/>
    </row>
    <row r="199" spans="1:137" ht="15.75" thickBot="1">
      <c r="A199" s="14"/>
      <c r="B199" s="44"/>
      <c r="C199" s="44"/>
      <c r="D199" s="44"/>
      <c r="E199" s="44"/>
      <c r="F199" s="44"/>
      <c r="G199" s="44"/>
      <c r="H199" s="44"/>
      <c r="I199" s="44"/>
      <c r="J199" s="44"/>
      <c r="K199" s="44"/>
      <c r="L199" s="44"/>
      <c r="M199" s="44"/>
      <c r="N199" s="44"/>
      <c r="O199" s="44"/>
      <c r="P199" s="44"/>
      <c r="Q199" s="44"/>
      <c r="R199" s="44"/>
      <c r="S199" s="97"/>
      <c r="AF199" s="32"/>
      <c r="AG199" s="33"/>
      <c r="BU199" s="135" t="s">
        <v>10</v>
      </c>
      <c r="BV199" s="19"/>
      <c r="BW199" s="19"/>
      <c r="BX199" s="19"/>
      <c r="BY199" s="198"/>
      <c r="BZ199" s="198"/>
      <c r="CA199" s="198"/>
      <c r="CB199" s="198"/>
      <c r="CC199" s="107"/>
      <c r="CD199" s="19"/>
      <c r="CE199" s="45"/>
      <c r="CF199" s="44"/>
      <c r="CG199" s="44"/>
      <c r="CH199" s="44"/>
      <c r="CI199" s="44"/>
      <c r="CJ199" s="44"/>
      <c r="CK199" s="44"/>
      <c r="CL199" s="44"/>
      <c r="CM199" s="44"/>
      <c r="CN199" s="44"/>
      <c r="CO199" s="44"/>
      <c r="CP199" s="44"/>
      <c r="CQ199" s="44"/>
      <c r="CR199" s="44"/>
      <c r="CS199" s="44"/>
      <c r="CT199" s="44"/>
      <c r="CU199" s="44"/>
      <c r="CV199" s="44"/>
      <c r="CW199" s="44"/>
      <c r="CX199" s="44"/>
      <c r="CY199" s="44"/>
      <c r="CZ199" s="44"/>
      <c r="DA199" s="44"/>
      <c r="DB199" s="44"/>
      <c r="DC199" s="44"/>
      <c r="DD199" s="44"/>
      <c r="DE199" s="44"/>
      <c r="DF199" s="44"/>
      <c r="DG199" s="44"/>
      <c r="DH199" s="44"/>
      <c r="DI199" s="44"/>
      <c r="DJ199" s="44"/>
      <c r="DK199" s="44"/>
      <c r="DL199" s="44"/>
      <c r="DM199" s="44"/>
      <c r="DN199" s="44"/>
      <c r="DO199" s="44"/>
      <c r="DP199" s="44"/>
      <c r="DQ199" s="44"/>
      <c r="DR199" s="44"/>
      <c r="DS199" s="44"/>
      <c r="DT199" s="44"/>
      <c r="DU199" s="44"/>
      <c r="DV199" s="44"/>
      <c r="DW199" s="44"/>
      <c r="DX199" s="44"/>
      <c r="DY199" s="44"/>
      <c r="DZ199" s="44"/>
      <c r="EA199" s="44"/>
      <c r="EB199" s="44"/>
      <c r="EC199" s="44"/>
      <c r="ED199" s="44"/>
      <c r="EE199" s="44"/>
      <c r="EF199" s="44"/>
      <c r="EG199" s="44"/>
    </row>
    <row r="200" spans="1:137" ht="20.25" customHeight="1">
      <c r="A200" s="14"/>
      <c r="B200" s="44"/>
      <c r="C200" s="44"/>
      <c r="D200" s="44"/>
      <c r="E200" s="44"/>
      <c r="F200" s="44"/>
      <c r="G200" s="44"/>
      <c r="H200" s="44"/>
      <c r="I200" s="44"/>
      <c r="J200" s="44"/>
      <c r="K200" s="44"/>
      <c r="L200" s="44"/>
      <c r="M200" s="44"/>
      <c r="N200" s="44"/>
      <c r="O200" s="231" t="s">
        <v>127</v>
      </c>
      <c r="P200" s="232"/>
      <c r="Q200" s="232"/>
      <c r="R200" s="233"/>
      <c r="S200" s="97"/>
      <c r="AF200" s="32"/>
      <c r="AG200" s="33"/>
      <c r="BQ200" s="3" t="b">
        <f>IF(AND(V5=3,R48=3,R60=2,W102="Nei"),TRUE,FALSE)</f>
        <v>0</v>
      </c>
      <c r="BU200" s="194" t="str">
        <f>IF(R60=1,"",VLOOKUP(R60,P61:Q72,2,FALSE))</f>
        <v/>
      </c>
      <c r="BV200" s="194"/>
      <c r="BW200" s="194"/>
      <c r="BX200" s="194"/>
      <c r="BY200" s="194"/>
      <c r="BZ200" s="194"/>
      <c r="CA200" s="194"/>
      <c r="CB200" s="194"/>
      <c r="CC200" s="194"/>
      <c r="CD200" s="194"/>
      <c r="CE200" s="45"/>
      <c r="CF200" s="44"/>
      <c r="CG200" s="44"/>
      <c r="CH200" s="44"/>
      <c r="CI200" s="44"/>
      <c r="CJ200" s="44"/>
      <c r="CK200" s="44"/>
      <c r="CL200" s="44"/>
      <c r="CM200" s="44"/>
      <c r="CN200" s="44"/>
      <c r="CO200" s="44"/>
      <c r="CP200" s="44"/>
      <c r="CQ200" s="44"/>
      <c r="CR200" s="44"/>
      <c r="CS200" s="44"/>
      <c r="CT200" s="44"/>
      <c r="CU200" s="44"/>
      <c r="CV200" s="44"/>
      <c r="CW200" s="44"/>
      <c r="CX200" s="44"/>
      <c r="CY200" s="44"/>
      <c r="CZ200" s="44"/>
      <c r="DA200" s="44"/>
      <c r="DB200" s="44"/>
      <c r="DC200" s="44"/>
      <c r="DD200" s="44"/>
      <c r="DE200" s="44"/>
      <c r="DF200" s="44"/>
      <c r="DG200" s="44"/>
      <c r="DH200" s="44"/>
      <c r="DI200" s="44"/>
      <c r="DJ200" s="44"/>
      <c r="DK200" s="44"/>
      <c r="DL200" s="44"/>
      <c r="DM200" s="44"/>
      <c r="DN200" s="44"/>
      <c r="DO200" s="44"/>
      <c r="DP200" s="44"/>
      <c r="DQ200" s="44"/>
      <c r="DR200" s="44"/>
      <c r="DS200" s="44"/>
      <c r="DT200" s="44"/>
      <c r="DU200" s="44"/>
      <c r="DV200" s="44"/>
      <c r="DW200" s="44"/>
      <c r="DX200" s="44"/>
      <c r="DY200" s="44"/>
      <c r="DZ200" s="44"/>
      <c r="EA200" s="44"/>
      <c r="EB200" s="44"/>
      <c r="EC200" s="44"/>
      <c r="ED200" s="44"/>
      <c r="EE200" s="44"/>
      <c r="EF200" s="44"/>
      <c r="EG200" s="44"/>
    </row>
    <row r="201" spans="1:137" ht="12" customHeight="1">
      <c r="A201" s="14"/>
      <c r="B201" s="44"/>
      <c r="C201" s="44"/>
      <c r="D201" s="44"/>
      <c r="E201" s="44"/>
      <c r="F201" s="44"/>
      <c r="G201" s="44"/>
      <c r="H201" s="44"/>
      <c r="I201" s="44"/>
      <c r="J201" s="44"/>
      <c r="K201" s="44"/>
      <c r="L201" s="44"/>
      <c r="M201" s="44"/>
      <c r="N201" s="44"/>
      <c r="O201" s="234"/>
      <c r="P201" s="235"/>
      <c r="Q201" s="235"/>
      <c r="R201" s="236"/>
      <c r="S201" s="97"/>
      <c r="AF201" s="32"/>
      <c r="AG201" s="33"/>
      <c r="BU201" s="108"/>
      <c r="BV201" s="108"/>
      <c r="BW201" s="108"/>
      <c r="BX201" s="108"/>
      <c r="BY201" s="108"/>
      <c r="BZ201" s="108"/>
      <c r="CA201" s="108"/>
      <c r="CB201" s="19"/>
      <c r="CC201" s="19"/>
      <c r="CD201" s="19"/>
      <c r="CE201" s="45"/>
      <c r="CF201" s="44"/>
      <c r="CG201" s="44"/>
      <c r="CH201" s="44"/>
      <c r="CI201" s="44"/>
      <c r="CJ201" s="44"/>
      <c r="CK201" s="44"/>
      <c r="CL201" s="44"/>
      <c r="CM201" s="44"/>
      <c r="CN201" s="44"/>
      <c r="CO201" s="44"/>
      <c r="CP201" s="44"/>
      <c r="CQ201" s="44"/>
      <c r="CR201" s="44"/>
      <c r="CS201" s="44"/>
      <c r="CT201" s="44"/>
      <c r="CU201" s="44"/>
      <c r="CV201" s="44"/>
      <c r="CW201" s="44"/>
      <c r="CX201" s="44"/>
      <c r="CY201" s="44"/>
      <c r="CZ201" s="44"/>
      <c r="DA201" s="44"/>
      <c r="DB201" s="44"/>
      <c r="DC201" s="44"/>
      <c r="DD201" s="44"/>
      <c r="DE201" s="44"/>
      <c r="DF201" s="44"/>
      <c r="DG201" s="44"/>
      <c r="DH201" s="44"/>
      <c r="DI201" s="44"/>
      <c r="DJ201" s="44"/>
      <c r="DK201" s="44"/>
      <c r="DL201" s="44"/>
      <c r="DM201" s="44"/>
      <c r="DN201" s="44"/>
      <c r="DO201" s="44"/>
      <c r="DP201" s="44"/>
      <c r="DQ201" s="44"/>
      <c r="DR201" s="44"/>
      <c r="DS201" s="44"/>
      <c r="DT201" s="44"/>
      <c r="DU201" s="44"/>
      <c r="DV201" s="44"/>
      <c r="DW201" s="44"/>
      <c r="DX201" s="44"/>
      <c r="DY201" s="44"/>
      <c r="DZ201" s="44"/>
      <c r="EA201" s="44"/>
      <c r="EB201" s="44"/>
      <c r="EC201" s="44"/>
      <c r="ED201" s="44"/>
      <c r="EE201" s="44"/>
      <c r="EF201" s="44"/>
      <c r="EG201" s="44"/>
    </row>
    <row r="202" spans="1:137">
      <c r="A202" s="14"/>
      <c r="B202" s="44"/>
      <c r="C202" s="44"/>
      <c r="D202" s="44"/>
      <c r="E202" s="44"/>
      <c r="F202" s="44"/>
      <c r="G202" s="44"/>
      <c r="H202" s="44"/>
      <c r="I202" s="44"/>
      <c r="J202" s="44"/>
      <c r="K202" s="44"/>
      <c r="L202" s="44"/>
      <c r="M202" s="44"/>
      <c r="N202" s="44"/>
      <c r="O202" s="234"/>
      <c r="P202" s="235"/>
      <c r="Q202" s="235"/>
      <c r="R202" s="236"/>
      <c r="S202" s="97"/>
      <c r="AF202" s="32"/>
      <c r="AG202" s="33"/>
      <c r="BU202" s="135" t="s">
        <v>25</v>
      </c>
      <c r="BV202" s="109"/>
      <c r="BW202" s="109"/>
      <c r="BX202" s="109"/>
      <c r="BY202" s="109"/>
      <c r="BZ202" s="109"/>
      <c r="CA202" s="109"/>
      <c r="CB202" s="109"/>
      <c r="CC202" s="19"/>
      <c r="CD202" s="136"/>
      <c r="CE202" s="45"/>
      <c r="CF202" s="44"/>
      <c r="CG202" s="44"/>
      <c r="CH202" s="44"/>
      <c r="CI202" s="44"/>
      <c r="CJ202" s="44"/>
      <c r="CK202" s="44"/>
      <c r="CL202" s="44"/>
      <c r="CM202" s="44"/>
      <c r="CN202" s="44"/>
      <c r="CO202" s="44"/>
      <c r="CP202" s="44"/>
      <c r="CQ202" s="44"/>
      <c r="CR202" s="44"/>
      <c r="CS202" s="44"/>
      <c r="CT202" s="44"/>
      <c r="CU202" s="44"/>
      <c r="CV202" s="44"/>
      <c r="CW202" s="44"/>
      <c r="CX202" s="44"/>
      <c r="CY202" s="44"/>
      <c r="CZ202" s="44"/>
      <c r="DA202" s="44"/>
      <c r="DB202" s="44"/>
      <c r="DC202" s="44"/>
      <c r="DD202" s="44"/>
      <c r="DE202" s="44"/>
      <c r="DF202" s="44"/>
      <c r="DG202" s="44"/>
      <c r="DH202" s="44"/>
      <c r="DI202" s="44"/>
      <c r="DJ202" s="44"/>
      <c r="DK202" s="44"/>
      <c r="DL202" s="44"/>
      <c r="DM202" s="44"/>
      <c r="DN202" s="44"/>
      <c r="DO202" s="44"/>
      <c r="DP202" s="44"/>
      <c r="DQ202" s="44"/>
      <c r="DR202" s="44"/>
      <c r="DS202" s="44"/>
      <c r="DT202" s="44"/>
      <c r="DU202" s="44"/>
      <c r="DV202" s="44"/>
      <c r="DW202" s="44"/>
      <c r="DX202" s="44"/>
      <c r="DY202" s="44"/>
      <c r="DZ202" s="44"/>
      <c r="EA202" s="44"/>
      <c r="EB202" s="44"/>
      <c r="EC202" s="44"/>
      <c r="ED202" s="44"/>
      <c r="EE202" s="44"/>
      <c r="EF202" s="44"/>
      <c r="EG202" s="44"/>
    </row>
    <row r="203" spans="1:137" ht="15.75">
      <c r="A203" s="14"/>
      <c r="B203" s="44"/>
      <c r="C203" s="44"/>
      <c r="D203" s="44"/>
      <c r="E203" s="44"/>
      <c r="F203" s="44"/>
      <c r="G203" s="44"/>
      <c r="H203" s="44"/>
      <c r="I203" s="44"/>
      <c r="J203" s="44"/>
      <c r="K203" s="44"/>
      <c r="L203" s="44"/>
      <c r="M203" s="44"/>
      <c r="N203" s="44"/>
      <c r="O203" s="234"/>
      <c r="P203" s="235"/>
      <c r="Q203" s="235"/>
      <c r="R203" s="236"/>
      <c r="S203" s="97"/>
      <c r="AF203" s="32"/>
      <c r="AG203" s="33"/>
      <c r="BU203" s="196" t="str">
        <f>IF(C6="","Navn på produsent mangler!",C6)</f>
        <v>Navn på produsent mangler!</v>
      </c>
      <c r="BV203" s="196"/>
      <c r="BW203" s="196"/>
      <c r="BX203" s="196"/>
      <c r="BY203" s="196"/>
      <c r="BZ203" s="196"/>
      <c r="CA203" s="196"/>
      <c r="CB203" s="196"/>
      <c r="CC203" s="19"/>
      <c r="CD203" s="19"/>
      <c r="CE203" s="45"/>
      <c r="CF203" s="44"/>
      <c r="CG203" s="44"/>
      <c r="CH203" s="44"/>
      <c r="CI203" s="44"/>
      <c r="CJ203" s="44"/>
      <c r="CK203" s="44"/>
      <c r="CL203" s="44"/>
      <c r="CM203" s="44"/>
      <c r="CN203" s="44"/>
      <c r="CO203" s="44"/>
      <c r="CP203" s="44"/>
      <c r="CQ203" s="44"/>
      <c r="CR203" s="44"/>
      <c r="CS203" s="44"/>
      <c r="CT203" s="44"/>
      <c r="CU203" s="44"/>
      <c r="CV203" s="44"/>
      <c r="CW203" s="44"/>
      <c r="CX203" s="44"/>
      <c r="CY203" s="44"/>
      <c r="CZ203" s="44"/>
      <c r="DA203" s="44"/>
      <c r="DB203" s="44"/>
      <c r="DC203" s="44"/>
      <c r="DD203" s="44"/>
      <c r="DE203" s="44"/>
      <c r="DF203" s="44"/>
      <c r="DG203" s="44"/>
      <c r="DH203" s="44"/>
      <c r="DI203" s="44"/>
      <c r="DJ203" s="44"/>
      <c r="DK203" s="44"/>
      <c r="DL203" s="44"/>
      <c r="DM203" s="44"/>
      <c r="DN203" s="44"/>
      <c r="DO203" s="44"/>
      <c r="DP203" s="44"/>
      <c r="DQ203" s="44"/>
      <c r="DR203" s="44"/>
      <c r="DS203" s="44"/>
      <c r="DT203" s="44"/>
      <c r="DU203" s="44"/>
      <c r="DV203" s="44"/>
      <c r="DW203" s="44"/>
      <c r="DX203" s="44"/>
      <c r="DY203" s="44"/>
      <c r="DZ203" s="44"/>
      <c r="EA203" s="44"/>
      <c r="EB203" s="44"/>
      <c r="EC203" s="44"/>
      <c r="ED203" s="44"/>
      <c r="EE203" s="44"/>
      <c r="EF203" s="44"/>
      <c r="EG203" s="44"/>
    </row>
    <row r="204" spans="1:137" ht="12.75" customHeight="1">
      <c r="A204" s="14"/>
      <c r="B204" s="44"/>
      <c r="C204" s="44"/>
      <c r="D204" s="44"/>
      <c r="E204" s="44"/>
      <c r="F204" s="44"/>
      <c r="G204" s="44"/>
      <c r="H204" s="44"/>
      <c r="I204" s="44"/>
      <c r="J204" s="44"/>
      <c r="K204" s="44"/>
      <c r="L204" s="44"/>
      <c r="M204" s="44"/>
      <c r="N204" s="44"/>
      <c r="O204" s="234"/>
      <c r="P204" s="235"/>
      <c r="Q204" s="235"/>
      <c r="R204" s="236"/>
      <c r="S204" s="97"/>
      <c r="AE204" s="3">
        <f>LEN(AF204)</f>
        <v>157</v>
      </c>
      <c r="AF204" s="3" t="s">
        <v>54</v>
      </c>
      <c r="BQ204" s="3" t="b">
        <f>IF(AND(V5=3,R48=3,R60=2),TRUE,FALSE)</f>
        <v>0</v>
      </c>
      <c r="BU204" s="19"/>
      <c r="BV204" s="17"/>
      <c r="BW204" s="17"/>
      <c r="BX204" s="17"/>
      <c r="BY204" s="17"/>
      <c r="BZ204" s="19"/>
      <c r="CA204" s="19"/>
      <c r="CB204" s="19"/>
      <c r="CC204" s="19"/>
      <c r="CD204" s="19"/>
      <c r="CE204" s="45"/>
      <c r="CF204" s="44"/>
      <c r="CG204" s="44"/>
      <c r="CH204" s="44"/>
      <c r="CI204" s="44"/>
      <c r="CJ204" s="44"/>
      <c r="CK204" s="44"/>
      <c r="CL204" s="44"/>
      <c r="CM204" s="44"/>
      <c r="CN204" s="44"/>
      <c r="CO204" s="44"/>
      <c r="CP204" s="44"/>
      <c r="CQ204" s="44"/>
      <c r="CR204" s="44"/>
      <c r="CS204" s="44"/>
      <c r="CT204" s="44"/>
      <c r="CU204" s="44"/>
      <c r="CV204" s="44"/>
      <c r="CW204" s="44"/>
      <c r="CX204" s="44"/>
      <c r="CY204" s="44"/>
      <c r="CZ204" s="44"/>
      <c r="DA204" s="44"/>
      <c r="DB204" s="44"/>
      <c r="DC204" s="44"/>
      <c r="DD204" s="44"/>
      <c r="DE204" s="44"/>
      <c r="DF204" s="44"/>
      <c r="DG204" s="44"/>
      <c r="DH204" s="44"/>
      <c r="DI204" s="44"/>
      <c r="DJ204" s="44"/>
      <c r="DK204" s="44"/>
      <c r="DL204" s="44"/>
      <c r="DM204" s="44"/>
      <c r="DN204" s="44"/>
      <c r="DO204" s="44"/>
      <c r="DP204" s="44"/>
      <c r="DQ204" s="44"/>
      <c r="DR204" s="44"/>
      <c r="DS204" s="44"/>
      <c r="DT204" s="44"/>
      <c r="DU204" s="44"/>
      <c r="DV204" s="44"/>
      <c r="DW204" s="44"/>
      <c r="DX204" s="44"/>
      <c r="DY204" s="44"/>
      <c r="DZ204" s="44"/>
      <c r="EA204" s="44"/>
      <c r="EB204" s="44"/>
      <c r="EC204" s="44"/>
      <c r="ED204" s="44"/>
      <c r="EE204" s="44"/>
      <c r="EF204" s="44"/>
      <c r="EG204" s="44"/>
    </row>
    <row r="205" spans="1:137" ht="15" customHeight="1" thickBot="1">
      <c r="A205" s="14"/>
      <c r="B205" s="44"/>
      <c r="C205" s="44"/>
      <c r="D205" s="44"/>
      <c r="E205" s="44"/>
      <c r="F205" s="44"/>
      <c r="G205" s="44"/>
      <c r="H205" s="44"/>
      <c r="I205" s="44"/>
      <c r="J205" s="44"/>
      <c r="K205" s="44"/>
      <c r="L205" s="44"/>
      <c r="M205" s="44"/>
      <c r="N205" s="44"/>
      <c r="O205" s="237"/>
      <c r="P205" s="238"/>
      <c r="Q205" s="238"/>
      <c r="R205" s="239"/>
      <c r="S205" s="97"/>
      <c r="AE205" s="3">
        <f>LEN(AF205)</f>
        <v>80</v>
      </c>
      <c r="AF205" s="3" t="s">
        <v>55</v>
      </c>
      <c r="BU205" s="199" t="str">
        <f>W45</f>
        <v/>
      </c>
      <c r="BV205" s="199"/>
      <c r="BW205" s="199"/>
      <c r="BX205" s="199"/>
      <c r="BY205" s="199"/>
      <c r="BZ205" s="199"/>
      <c r="CA205" s="199"/>
      <c r="CB205" s="199"/>
      <c r="CC205" s="199"/>
      <c r="CD205" s="199"/>
      <c r="CE205" s="45"/>
      <c r="CF205" s="44"/>
      <c r="CG205" s="44"/>
      <c r="CH205" s="44"/>
      <c r="CI205" s="44"/>
      <c r="CJ205" s="44"/>
      <c r="CK205" s="44"/>
      <c r="CL205" s="44"/>
      <c r="CM205" s="44"/>
      <c r="CN205" s="44"/>
      <c r="CO205" s="44"/>
      <c r="CP205" s="44"/>
      <c r="CQ205" s="44"/>
      <c r="CR205" s="44"/>
      <c r="CS205" s="44"/>
      <c r="CT205" s="44"/>
      <c r="CU205" s="44"/>
      <c r="CV205" s="44"/>
      <c r="CW205" s="44"/>
      <c r="CX205" s="44"/>
      <c r="CY205" s="44"/>
      <c r="CZ205" s="44"/>
      <c r="DA205" s="44"/>
      <c r="DB205" s="44"/>
      <c r="DC205" s="44"/>
      <c r="DD205" s="44"/>
      <c r="DE205" s="44"/>
      <c r="DF205" s="44"/>
      <c r="DG205" s="44"/>
      <c r="DH205" s="44"/>
      <c r="DI205" s="44"/>
      <c r="DJ205" s="44"/>
      <c r="DK205" s="44"/>
      <c r="DL205" s="44"/>
      <c r="DM205" s="44"/>
      <c r="DN205" s="44"/>
      <c r="DO205" s="44"/>
      <c r="DP205" s="44"/>
      <c r="DQ205" s="44"/>
      <c r="DR205" s="44"/>
      <c r="DS205" s="44"/>
      <c r="DT205" s="44"/>
      <c r="DU205" s="44"/>
      <c r="DV205" s="44"/>
      <c r="DW205" s="44"/>
      <c r="DX205" s="44"/>
      <c r="DY205" s="44"/>
      <c r="DZ205" s="44"/>
      <c r="EA205" s="44"/>
      <c r="EB205" s="44"/>
      <c r="EC205" s="44"/>
      <c r="ED205" s="44"/>
      <c r="EE205" s="44"/>
      <c r="EF205" s="44"/>
      <c r="EG205" s="44"/>
    </row>
    <row r="206" spans="1:137" ht="18" customHeight="1">
      <c r="A206" s="14"/>
      <c r="B206" s="44"/>
      <c r="C206" s="44"/>
      <c r="D206" s="44"/>
      <c r="E206" s="44"/>
      <c r="F206" s="44"/>
      <c r="G206" s="44"/>
      <c r="H206" s="44"/>
      <c r="I206" s="44"/>
      <c r="J206" s="44"/>
      <c r="K206" s="44"/>
      <c r="L206" s="44"/>
      <c r="M206" s="44"/>
      <c r="N206" s="44"/>
      <c r="O206" s="44"/>
      <c r="P206" s="44"/>
      <c r="Q206" s="44"/>
      <c r="R206" s="44"/>
      <c r="S206" s="97"/>
      <c r="AE206" s="3">
        <f>LEN(AF206)</f>
        <v>163</v>
      </c>
      <c r="AF206" s="3" t="s">
        <v>53</v>
      </c>
      <c r="BU206" s="199"/>
      <c r="BV206" s="199"/>
      <c r="BW206" s="199"/>
      <c r="BX206" s="199"/>
      <c r="BY206" s="199"/>
      <c r="BZ206" s="199"/>
      <c r="CA206" s="199"/>
      <c r="CB206" s="199"/>
      <c r="CC206" s="199"/>
      <c r="CD206" s="199"/>
      <c r="CE206" s="45"/>
      <c r="CF206" s="44"/>
      <c r="CG206" s="44"/>
      <c r="CH206" s="44"/>
      <c r="CI206" s="44"/>
      <c r="CJ206" s="44"/>
      <c r="CK206" s="44"/>
      <c r="CL206" s="44"/>
      <c r="CM206" s="44"/>
      <c r="CN206" s="44"/>
      <c r="CO206" s="44"/>
      <c r="CP206" s="44"/>
      <c r="CQ206" s="44"/>
      <c r="CR206" s="44"/>
      <c r="CS206" s="44"/>
      <c r="CT206" s="44"/>
      <c r="CU206" s="44"/>
      <c r="CV206" s="44"/>
      <c r="CW206" s="44"/>
      <c r="CX206" s="44"/>
      <c r="CY206" s="44"/>
      <c r="CZ206" s="44"/>
      <c r="DA206" s="44"/>
      <c r="DB206" s="44"/>
      <c r="DC206" s="44"/>
      <c r="DD206" s="44"/>
      <c r="DE206" s="44"/>
      <c r="DF206" s="44"/>
      <c r="DG206" s="44"/>
      <c r="DH206" s="44"/>
      <c r="DI206" s="44"/>
      <c r="DJ206" s="44"/>
      <c r="DK206" s="44"/>
      <c r="DL206" s="44"/>
      <c r="DM206" s="44"/>
      <c r="DN206" s="44"/>
      <c r="DO206" s="44"/>
      <c r="DP206" s="44"/>
      <c r="DQ206" s="44"/>
      <c r="DR206" s="44"/>
      <c r="DS206" s="44"/>
      <c r="DT206" s="44"/>
      <c r="DU206" s="44"/>
      <c r="DV206" s="44"/>
      <c r="DW206" s="44"/>
      <c r="DX206" s="44"/>
      <c r="DY206" s="44"/>
      <c r="DZ206" s="44"/>
      <c r="EA206" s="44"/>
      <c r="EB206" s="44"/>
      <c r="EC206" s="44"/>
      <c r="ED206" s="44"/>
      <c r="EE206" s="44"/>
      <c r="EF206" s="44"/>
      <c r="EG206" s="44"/>
    </row>
    <row r="207" spans="1:137" ht="15" customHeight="1">
      <c r="A207" s="14"/>
      <c r="B207" s="44"/>
      <c r="C207" s="44"/>
      <c r="D207" s="44"/>
      <c r="E207" s="44"/>
      <c r="F207" s="44"/>
      <c r="G207" s="44"/>
      <c r="H207" s="44"/>
      <c r="I207" s="44"/>
      <c r="J207" s="44"/>
      <c r="K207" s="44"/>
      <c r="L207" s="44"/>
      <c r="M207" s="44"/>
      <c r="N207" s="44"/>
      <c r="O207" s="44"/>
      <c r="P207" s="44"/>
      <c r="Q207" s="44"/>
      <c r="R207" s="44"/>
      <c r="S207" s="97"/>
      <c r="AF207" s="3" t="str">
        <f>CONCATENATE(AF204," ",AF205," ",AF206)</f>
        <v>EUs malingsdirektiv (2004/42/EC) og forskrift om begrensning i bruk av helse- og miljøfarlige kjemikalier og andre produkter (produktforskriften) vedlegg VII til § 2-24 til § 2-26 om organiske forbindelser i maling- og lakkeringsprodukter bruker inndelingen over på maling og lakk. Vi ber om at samme inndeling av type (a, b, c,..., l) benyttes i kolonne 2 i tabellen der produktinformasjon deklareres.</v>
      </c>
      <c r="BU207" s="135" t="s">
        <v>26</v>
      </c>
      <c r="BV207" s="110"/>
      <c r="BW207" s="110"/>
      <c r="BX207" s="110"/>
      <c r="BY207" s="110"/>
      <c r="BZ207" s="110"/>
      <c r="CA207" s="110"/>
      <c r="CB207" s="110"/>
      <c r="CC207" s="19"/>
      <c r="CD207" s="19"/>
      <c r="CE207" s="45"/>
      <c r="CF207" s="44"/>
      <c r="CG207" s="44"/>
      <c r="CH207" s="44"/>
      <c r="CI207" s="44"/>
      <c r="CJ207" s="44"/>
      <c r="CK207" s="44"/>
      <c r="CL207" s="44"/>
      <c r="CM207" s="44"/>
      <c r="CN207" s="44"/>
      <c r="CO207" s="44"/>
      <c r="CP207" s="44"/>
      <c r="CQ207" s="44"/>
      <c r="CR207" s="44"/>
      <c r="CS207" s="44"/>
      <c r="CT207" s="44"/>
      <c r="CU207" s="44"/>
      <c r="CV207" s="44"/>
      <c r="CW207" s="44"/>
      <c r="CX207" s="44"/>
      <c r="CY207" s="44"/>
      <c r="CZ207" s="44"/>
      <c r="DA207" s="44"/>
      <c r="DB207" s="44"/>
      <c r="DC207" s="44"/>
      <c r="DD207" s="44"/>
      <c r="DE207" s="44"/>
      <c r="DF207" s="44"/>
      <c r="DG207" s="44"/>
      <c r="DH207" s="44"/>
      <c r="DI207" s="44"/>
      <c r="DJ207" s="44"/>
      <c r="DK207" s="44"/>
      <c r="DL207" s="44"/>
      <c r="DM207" s="44"/>
      <c r="DN207" s="44"/>
      <c r="DO207" s="44"/>
      <c r="DP207" s="44"/>
      <c r="DQ207" s="44"/>
      <c r="DR207" s="44"/>
      <c r="DS207" s="44"/>
      <c r="DT207" s="44"/>
      <c r="DU207" s="44"/>
      <c r="DV207" s="44"/>
      <c r="DW207" s="44"/>
      <c r="DX207" s="44"/>
      <c r="DY207" s="44"/>
      <c r="DZ207" s="44"/>
      <c r="EA207" s="44"/>
      <c r="EB207" s="44"/>
      <c r="EC207" s="44"/>
      <c r="ED207" s="44"/>
      <c r="EE207" s="44"/>
      <c r="EF207" s="44"/>
      <c r="EG207" s="44"/>
    </row>
    <row r="208" spans="1:137" ht="15" customHeight="1">
      <c r="A208" s="14"/>
      <c r="B208" s="44"/>
      <c r="C208" s="44"/>
      <c r="D208" s="44"/>
      <c r="E208" s="44"/>
      <c r="F208" s="44"/>
      <c r="G208" s="44"/>
      <c r="H208" s="44"/>
      <c r="I208" s="44"/>
      <c r="J208" s="44"/>
      <c r="K208" s="44"/>
      <c r="L208" s="44"/>
      <c r="M208" s="44"/>
      <c r="N208" s="44"/>
      <c r="O208" s="44"/>
      <c r="P208" s="44"/>
      <c r="Q208" s="44"/>
      <c r="R208" s="44"/>
      <c r="S208" s="97"/>
      <c r="BQ208" s="3" t="b">
        <f>IF(BQ210="",TRUE,FALSE)</f>
        <v>1</v>
      </c>
      <c r="BU208" s="195" t="str">
        <f>IF(C74="","Handelsnavn må oppgis",C74)</f>
        <v>Handelsnavn må oppgis</v>
      </c>
      <c r="BV208" s="195"/>
      <c r="BW208" s="195"/>
      <c r="BX208" s="195"/>
      <c r="BY208" s="195"/>
      <c r="BZ208" s="195"/>
      <c r="CA208" s="195"/>
      <c r="CB208" s="195"/>
      <c r="CC208" s="18"/>
      <c r="CD208" s="18"/>
      <c r="CE208" s="45"/>
      <c r="CF208" s="44"/>
      <c r="CG208" s="44"/>
      <c r="CH208" s="44"/>
      <c r="CI208" s="44"/>
      <c r="CJ208" s="44"/>
      <c r="CK208" s="44"/>
      <c r="CL208" s="44"/>
      <c r="CM208" s="44"/>
      <c r="CN208" s="44"/>
      <c r="CO208" s="44"/>
      <c r="CP208" s="44"/>
      <c r="CQ208" s="44"/>
      <c r="CR208" s="44"/>
      <c r="CS208" s="44"/>
      <c r="CT208" s="44"/>
      <c r="CU208" s="44"/>
      <c r="CV208" s="44"/>
      <c r="CW208" s="44"/>
      <c r="CX208" s="44"/>
      <c r="CY208" s="44"/>
      <c r="CZ208" s="44"/>
      <c r="DA208" s="44"/>
      <c r="DB208" s="44"/>
      <c r="DC208" s="44"/>
      <c r="DD208" s="44"/>
      <c r="DE208" s="44"/>
      <c r="DF208" s="44"/>
      <c r="DG208" s="44"/>
      <c r="DH208" s="44"/>
      <c r="DI208" s="44"/>
      <c r="DJ208" s="44"/>
      <c r="DK208" s="44"/>
      <c r="DL208" s="44"/>
      <c r="DM208" s="44"/>
      <c r="DN208" s="44"/>
      <c r="DO208" s="44"/>
      <c r="DP208" s="44"/>
      <c r="DQ208" s="44"/>
      <c r="DR208" s="44"/>
      <c r="DS208" s="44"/>
      <c r="DT208" s="44"/>
      <c r="DU208" s="44"/>
      <c r="DV208" s="44"/>
      <c r="DW208" s="44"/>
      <c r="DX208" s="44"/>
      <c r="DY208" s="44"/>
      <c r="DZ208" s="44"/>
      <c r="EA208" s="44"/>
      <c r="EB208" s="44"/>
      <c r="EC208" s="44"/>
      <c r="ED208" s="44"/>
      <c r="EE208" s="44"/>
      <c r="EF208" s="44"/>
      <c r="EG208" s="44"/>
    </row>
    <row r="209" spans="1:137" ht="15" customHeight="1">
      <c r="A209" s="14"/>
      <c r="B209" s="44"/>
      <c r="C209" s="44"/>
      <c r="D209" s="44"/>
      <c r="E209" s="44"/>
      <c r="F209" s="44"/>
      <c r="G209" s="44"/>
      <c r="H209" s="44"/>
      <c r="I209" s="44"/>
      <c r="J209" s="44"/>
      <c r="K209" s="44"/>
      <c r="L209" s="44"/>
      <c r="M209" s="44"/>
      <c r="N209" s="44"/>
      <c r="O209" s="44"/>
      <c r="P209" s="44"/>
      <c r="Q209" s="44"/>
      <c r="R209" s="44"/>
      <c r="S209" s="97"/>
      <c r="BU209" s="195"/>
      <c r="BV209" s="195"/>
      <c r="BW209" s="195"/>
      <c r="BX209" s="195"/>
      <c r="BY209" s="195"/>
      <c r="BZ209" s="195"/>
      <c r="CA209" s="195"/>
      <c r="CB209" s="195"/>
      <c r="CC209" s="18"/>
      <c r="CD209" s="18"/>
      <c r="CE209" s="45"/>
      <c r="CF209" s="44"/>
      <c r="CG209" s="44"/>
      <c r="CH209" s="44"/>
      <c r="CI209" s="44"/>
      <c r="CJ209" s="44"/>
      <c r="CK209" s="44"/>
      <c r="CL209" s="44"/>
      <c r="CM209" s="44"/>
      <c r="CN209" s="44"/>
      <c r="CO209" s="44"/>
      <c r="CP209" s="44"/>
      <c r="CQ209" s="44"/>
      <c r="CR209" s="44"/>
      <c r="CS209" s="44"/>
      <c r="CT209" s="44"/>
      <c r="CU209" s="44"/>
      <c r="CV209" s="44"/>
      <c r="CW209" s="44"/>
      <c r="CX209" s="44"/>
      <c r="CY209" s="44"/>
      <c r="CZ209" s="44"/>
      <c r="DA209" s="44"/>
      <c r="DB209" s="44"/>
      <c r="DC209" s="44"/>
      <c r="DD209" s="44"/>
      <c r="DE209" s="44"/>
      <c r="DF209" s="44"/>
      <c r="DG209" s="44"/>
      <c r="DH209" s="44"/>
      <c r="DI209" s="44"/>
      <c r="DJ209" s="44"/>
      <c r="DK209" s="44"/>
      <c r="DL209" s="44"/>
      <c r="DM209" s="44"/>
      <c r="DN209" s="44"/>
      <c r="DO209" s="44"/>
      <c r="DP209" s="44"/>
      <c r="DQ209" s="44"/>
      <c r="DR209" s="44"/>
      <c r="DS209" s="44"/>
      <c r="DT209" s="44"/>
      <c r="DU209" s="44"/>
      <c r="DV209" s="44"/>
      <c r="DW209" s="44"/>
      <c r="DX209" s="44"/>
      <c r="DY209" s="44"/>
      <c r="DZ209" s="44"/>
      <c r="EA209" s="44"/>
      <c r="EB209" s="44"/>
      <c r="EC209" s="44"/>
      <c r="ED209" s="44"/>
      <c r="EE209" s="44"/>
      <c r="EF209" s="44"/>
      <c r="EG209" s="44"/>
    </row>
    <row r="210" spans="1:137" ht="30.75" customHeight="1">
      <c r="A210" s="14"/>
      <c r="B210" s="44"/>
      <c r="C210" s="44"/>
      <c r="D210" s="44"/>
      <c r="E210" s="44"/>
      <c r="F210" s="44"/>
      <c r="G210" s="44"/>
      <c r="H210" s="44"/>
      <c r="I210" s="44"/>
      <c r="J210" s="44"/>
      <c r="K210" s="44"/>
      <c r="L210" s="44"/>
      <c r="M210" s="44"/>
      <c r="N210" s="44"/>
      <c r="O210" s="44"/>
      <c r="P210" s="44"/>
      <c r="Q210" s="44"/>
      <c r="R210" s="44"/>
      <c r="S210" s="97"/>
      <c r="AR210" s="3" t="s">
        <v>126</v>
      </c>
      <c r="AS210" s="3" t="s">
        <v>9</v>
      </c>
      <c r="AT210" s="3" t="s">
        <v>45</v>
      </c>
      <c r="AV210" s="3" t="s">
        <v>125</v>
      </c>
      <c r="BQ210" s="3" t="str">
        <f>I82</f>
        <v/>
      </c>
      <c r="BR210" s="3" t="str">
        <f>M82</f>
        <v/>
      </c>
      <c r="BU210" s="200" t="str">
        <f>C82</f>
        <v/>
      </c>
      <c r="BV210" s="200"/>
      <c r="BW210" s="200"/>
      <c r="BX210" s="200"/>
      <c r="BY210" s="225" t="str">
        <f>IF(BQ208=TRUE,BR210,BQ210)</f>
        <v/>
      </c>
      <c r="BZ210" s="225"/>
      <c r="CA210" s="139" t="str">
        <f>IF(BQ208=TRUE,"",BR210)</f>
        <v/>
      </c>
      <c r="CB210" s="140" t="s">
        <v>44</v>
      </c>
      <c r="CC210" s="141"/>
      <c r="CD210" s="141"/>
      <c r="CE210" s="45"/>
      <c r="CF210" s="44"/>
      <c r="CG210" s="44"/>
      <c r="CH210" s="44"/>
      <c r="CI210" s="44"/>
      <c r="CJ210" s="44"/>
      <c r="CK210" s="44"/>
      <c r="CL210" s="44"/>
      <c r="CM210" s="44"/>
      <c r="CN210" s="44"/>
      <c r="CO210" s="44"/>
      <c r="CP210" s="44"/>
      <c r="CQ210" s="44"/>
      <c r="CR210" s="44"/>
      <c r="CS210" s="44"/>
      <c r="CT210" s="44"/>
      <c r="CU210" s="44"/>
      <c r="CV210" s="44"/>
      <c r="CW210" s="44"/>
      <c r="CX210" s="44"/>
      <c r="CY210" s="44"/>
      <c r="CZ210" s="44"/>
      <c r="DA210" s="44"/>
      <c r="DB210" s="44"/>
      <c r="DC210" s="44"/>
      <c r="DD210" s="44"/>
      <c r="DE210" s="44"/>
      <c r="DF210" s="44"/>
      <c r="DG210" s="44"/>
      <c r="DH210" s="44"/>
      <c r="DI210" s="44"/>
      <c r="DJ210" s="44"/>
      <c r="DK210" s="44"/>
      <c r="DL210" s="44"/>
      <c r="DM210" s="44"/>
      <c r="DN210" s="44"/>
      <c r="DO210" s="44"/>
      <c r="DP210" s="44"/>
      <c r="DQ210" s="44"/>
      <c r="DR210" s="44"/>
      <c r="DS210" s="44"/>
      <c r="DT210" s="44"/>
      <c r="DU210" s="44"/>
      <c r="DV210" s="44"/>
      <c r="DW210" s="44"/>
      <c r="DX210" s="44"/>
      <c r="DY210" s="44"/>
      <c r="DZ210" s="44"/>
      <c r="EA210" s="44"/>
      <c r="EB210" s="44"/>
      <c r="EC210" s="44"/>
      <c r="ED210" s="44"/>
      <c r="EE210" s="44"/>
      <c r="EF210" s="44"/>
      <c r="EG210" s="44"/>
    </row>
    <row r="211" spans="1:137" ht="15" customHeight="1">
      <c r="A211" s="14"/>
      <c r="B211" s="44"/>
      <c r="C211" s="44"/>
      <c r="D211" s="44"/>
      <c r="E211" s="44"/>
      <c r="F211" s="44"/>
      <c r="G211" s="44"/>
      <c r="H211" s="44"/>
      <c r="I211" s="44"/>
      <c r="J211" s="44"/>
      <c r="K211" s="44"/>
      <c r="L211" s="44"/>
      <c r="M211" s="44"/>
      <c r="N211" s="44"/>
      <c r="O211" s="44"/>
      <c r="P211" s="44"/>
      <c r="Q211" s="44"/>
      <c r="R211" s="44"/>
      <c r="S211" s="97"/>
      <c r="AP211" s="3" t="b">
        <f>IF(W59=TRUE,TRUE,FALSE)</f>
        <v>0</v>
      </c>
      <c r="AQ211" s="3" t="b">
        <f>IF(BU211="",FALSE,TRUE)</f>
        <v>0</v>
      </c>
      <c r="AR211" s="3" t="b">
        <f>AND($AP$214,AQ211)</f>
        <v>0</v>
      </c>
      <c r="AS211" s="3" t="b">
        <f>AND($AP$213,AQ211)</f>
        <v>0</v>
      </c>
      <c r="AT211" s="3" t="b">
        <f>AND($AP$212,AQ211)</f>
        <v>0</v>
      </c>
      <c r="AV211" s="11"/>
      <c r="BT211" s="4"/>
      <c r="BU211" s="157" t="str">
        <f>X85</f>
        <v/>
      </c>
      <c r="BV211" s="156" t="str">
        <f>$Y$85</f>
        <v/>
      </c>
      <c r="BW211" s="156"/>
      <c r="BX211" s="156"/>
      <c r="BY211" s="156" t="str">
        <f>IF(BQ208=TRUE,W88,$Z$85)</f>
        <v/>
      </c>
      <c r="BZ211" s="156"/>
      <c r="CA211" s="157" t="str">
        <f>IF(BQ208=TRUE,"",W88)</f>
        <v/>
      </c>
      <c r="CB211" s="156" t="str">
        <f>IF(BU211="","",IF(O83="","",O83))</f>
        <v/>
      </c>
      <c r="CC211" s="156"/>
      <c r="CD211" s="156"/>
      <c r="CE211" s="45"/>
      <c r="CF211" s="44"/>
      <c r="CG211" s="44"/>
      <c r="CH211" s="44"/>
      <c r="CI211" s="44"/>
      <c r="CJ211" s="44"/>
      <c r="CK211" s="44"/>
      <c r="CL211" s="44"/>
      <c r="CM211" s="44"/>
      <c r="CN211" s="44"/>
      <c r="CO211" s="44"/>
      <c r="CP211" s="44"/>
      <c r="CQ211" s="44"/>
      <c r="CR211" s="44"/>
      <c r="CS211" s="44"/>
      <c r="CT211" s="44"/>
      <c r="CU211" s="44"/>
      <c r="CV211" s="44"/>
      <c r="CW211" s="44"/>
      <c r="CX211" s="44"/>
      <c r="CY211" s="44"/>
      <c r="CZ211" s="44"/>
      <c r="DA211" s="44"/>
      <c r="DB211" s="44"/>
      <c r="DC211" s="44"/>
      <c r="DD211" s="44"/>
      <c r="DE211" s="44"/>
      <c r="DF211" s="44"/>
      <c r="DG211" s="44"/>
      <c r="DH211" s="44"/>
      <c r="DI211" s="44"/>
      <c r="DJ211" s="44"/>
      <c r="DK211" s="44"/>
      <c r="DL211" s="44"/>
      <c r="DM211" s="44"/>
      <c r="DN211" s="44"/>
      <c r="DO211" s="44"/>
      <c r="DP211" s="44"/>
      <c r="DQ211" s="44"/>
      <c r="DR211" s="44"/>
      <c r="DS211" s="44"/>
      <c r="DT211" s="44"/>
      <c r="DU211" s="44"/>
      <c r="DV211" s="44"/>
      <c r="DW211" s="44"/>
      <c r="DX211" s="44"/>
      <c r="DY211" s="44"/>
      <c r="DZ211" s="44"/>
      <c r="EA211" s="44"/>
      <c r="EB211" s="44"/>
      <c r="EC211" s="44"/>
      <c r="ED211" s="44"/>
      <c r="EE211" s="44"/>
      <c r="EF211" s="44"/>
      <c r="EG211" s="44"/>
    </row>
    <row r="212" spans="1:137" ht="40.5" customHeight="1">
      <c r="A212" s="14"/>
      <c r="B212" s="44"/>
      <c r="C212" s="44"/>
      <c r="D212" s="44"/>
      <c r="E212" s="44"/>
      <c r="F212" s="44"/>
      <c r="G212" s="44"/>
      <c r="H212" s="44"/>
      <c r="I212" s="44"/>
      <c r="J212" s="44"/>
      <c r="K212" s="44"/>
      <c r="L212" s="44"/>
      <c r="M212" s="44"/>
      <c r="N212" s="44"/>
      <c r="O212" s="44"/>
      <c r="P212" s="44"/>
      <c r="Q212" s="44"/>
      <c r="R212" s="44"/>
      <c r="S212" s="97"/>
      <c r="AP212" s="3" t="b">
        <f>IF(R48=2,TRUE,FALSE)</f>
        <v>0</v>
      </c>
      <c r="AQ212" s="3" t="b">
        <f>IF(BU213="",FALSE,TRUE)</f>
        <v>0</v>
      </c>
      <c r="AR212" s="3" t="b">
        <f>IF(BQ204=TRUE,FALSE,AND($AP$214,AQ212))</f>
        <v>0</v>
      </c>
      <c r="AS212" s="3" t="b">
        <f>AND($AP$213,AQ212)</f>
        <v>0</v>
      </c>
      <c r="AT212" s="3" t="b">
        <f>AND($AP$212,AQ212)</f>
        <v>0</v>
      </c>
      <c r="AV212" s="11"/>
      <c r="BT212" s="4"/>
      <c r="BU212" s="157"/>
      <c r="BV212" s="156"/>
      <c r="BW212" s="156"/>
      <c r="BX212" s="156"/>
      <c r="BY212" s="188"/>
      <c r="BZ212" s="188"/>
      <c r="CA212" s="189"/>
      <c r="CB212" s="156"/>
      <c r="CC212" s="156"/>
      <c r="CD212" s="156"/>
      <c r="CE212" s="45"/>
      <c r="CF212" s="44"/>
      <c r="CG212" s="44"/>
      <c r="CH212" s="44"/>
      <c r="CI212" s="44"/>
      <c r="CJ212" s="44"/>
      <c r="CK212" s="44"/>
      <c r="CL212" s="44"/>
      <c r="CM212" s="44"/>
      <c r="CN212" s="44"/>
      <c r="CO212" s="44"/>
      <c r="CP212" s="44"/>
      <c r="CQ212" s="44"/>
      <c r="CR212" s="44"/>
      <c r="CS212" s="44"/>
      <c r="CT212" s="44"/>
      <c r="CU212" s="44"/>
      <c r="CV212" s="44"/>
      <c r="CW212" s="44"/>
      <c r="CX212" s="44"/>
      <c r="CY212" s="44"/>
      <c r="CZ212" s="44"/>
      <c r="DA212" s="44"/>
      <c r="DB212" s="44"/>
      <c r="DC212" s="44"/>
      <c r="DD212" s="44"/>
      <c r="DE212" s="44"/>
      <c r="DF212" s="44"/>
      <c r="DG212" s="44"/>
      <c r="DH212" s="44"/>
      <c r="DI212" s="44"/>
      <c r="DJ212" s="44"/>
      <c r="DK212" s="44"/>
      <c r="DL212" s="44"/>
      <c r="DM212" s="44"/>
      <c r="DN212" s="44"/>
      <c r="DO212" s="44"/>
      <c r="DP212" s="44"/>
      <c r="DQ212" s="44"/>
      <c r="DR212" s="44"/>
      <c r="DS212" s="44"/>
      <c r="DT212" s="44"/>
      <c r="DU212" s="44"/>
      <c r="DV212" s="44"/>
      <c r="DW212" s="44"/>
      <c r="DX212" s="44"/>
      <c r="DY212" s="44"/>
      <c r="DZ212" s="44"/>
      <c r="EA212" s="44"/>
      <c r="EB212" s="44"/>
      <c r="EC212" s="44"/>
      <c r="ED212" s="44"/>
      <c r="EE212" s="44"/>
      <c r="EF212" s="44"/>
      <c r="EG212" s="44"/>
    </row>
    <row r="213" spans="1:137" ht="16.5" customHeight="1">
      <c r="A213" s="14"/>
      <c r="B213" s="44"/>
      <c r="C213" s="44"/>
      <c r="D213" s="44"/>
      <c r="E213" s="44"/>
      <c r="F213" s="44"/>
      <c r="G213" s="44"/>
      <c r="H213" s="44"/>
      <c r="I213" s="44"/>
      <c r="J213" s="44"/>
      <c r="K213" s="44"/>
      <c r="L213" s="44"/>
      <c r="M213" s="44"/>
      <c r="N213" s="44"/>
      <c r="O213" s="44"/>
      <c r="P213" s="44"/>
      <c r="Q213" s="44"/>
      <c r="R213" s="44"/>
      <c r="S213" s="97"/>
      <c r="AP213" s="3" t="b">
        <f>IF(AND(V5=2,R48=3),TRUE,FALSE)</f>
        <v>0</v>
      </c>
      <c r="AQ213" s="3" t="b">
        <f>IF(BU216="",FALSE,TRUE)</f>
        <v>0</v>
      </c>
      <c r="AR213" s="3" t="b">
        <f>IF(BQ204=TRUE,FALSE,AND($AP$214,AQ213))</f>
        <v>0</v>
      </c>
      <c r="AS213" s="3" t="b">
        <f>AND($AP$213,AQ213)</f>
        <v>0</v>
      </c>
      <c r="AT213" s="3" t="b">
        <f>AND($AP$212,AQ213)</f>
        <v>0</v>
      </c>
      <c r="AV213" s="11"/>
      <c r="BT213" s="4"/>
      <c r="BU213" s="197" t="str">
        <f>AB85</f>
        <v/>
      </c>
      <c r="BV213" s="156" t="str">
        <f>$AC$85</f>
        <v/>
      </c>
      <c r="BW213" s="156"/>
      <c r="BX213" s="156"/>
      <c r="BY213" s="156" t="str">
        <f>IF(BQ208=TRUE,W92,AD85)</f>
        <v/>
      </c>
      <c r="BZ213" s="156"/>
      <c r="CA213" s="197" t="str">
        <f>IF(BQ198=TRUE,"",IF(BQ208=TRUE,"",W92))</f>
        <v/>
      </c>
      <c r="CB213" s="217" t="str">
        <f>IF(BU213="","",IF(O90="","",O90))</f>
        <v/>
      </c>
      <c r="CC213" s="217"/>
      <c r="CD213" s="217"/>
      <c r="CE213" s="45"/>
      <c r="CF213" s="44"/>
      <c r="CG213" s="44"/>
      <c r="CH213" s="44"/>
      <c r="CI213" s="44"/>
      <c r="CJ213" s="44"/>
      <c r="CK213" s="44"/>
      <c r="CL213" s="44"/>
      <c r="CM213" s="44"/>
      <c r="CN213" s="44"/>
      <c r="CO213" s="44"/>
      <c r="CP213" s="44"/>
      <c r="CQ213" s="44"/>
      <c r="CR213" s="44"/>
      <c r="CS213" s="44"/>
      <c r="CT213" s="44"/>
      <c r="CU213" s="44"/>
      <c r="CV213" s="44"/>
      <c r="CW213" s="44"/>
      <c r="CX213" s="44"/>
      <c r="CY213" s="44"/>
      <c r="CZ213" s="44"/>
      <c r="DA213" s="44"/>
      <c r="DB213" s="44"/>
      <c r="DC213" s="44"/>
      <c r="DD213" s="44"/>
      <c r="DE213" s="44"/>
      <c r="DF213" s="44"/>
      <c r="DG213" s="44"/>
      <c r="DH213" s="44"/>
      <c r="DI213" s="44"/>
      <c r="DJ213" s="44"/>
      <c r="DK213" s="44"/>
      <c r="DL213" s="44"/>
      <c r="DM213" s="44"/>
      <c r="DN213" s="44"/>
      <c r="DO213" s="44"/>
      <c r="DP213" s="44"/>
      <c r="DQ213" s="44"/>
      <c r="DR213" s="44"/>
      <c r="DS213" s="44"/>
      <c r="DT213" s="44"/>
      <c r="DU213" s="44"/>
      <c r="DV213" s="44"/>
      <c r="DW213" s="44"/>
      <c r="DX213" s="44"/>
      <c r="DY213" s="44"/>
      <c r="DZ213" s="44"/>
      <c r="EA213" s="44"/>
      <c r="EB213" s="44"/>
      <c r="EC213" s="44"/>
      <c r="ED213" s="44"/>
      <c r="EE213" s="44"/>
      <c r="EF213" s="44"/>
      <c r="EG213" s="44"/>
    </row>
    <row r="214" spans="1:137" ht="24.75" customHeight="1">
      <c r="A214" s="14"/>
      <c r="B214" s="44"/>
      <c r="C214" s="44"/>
      <c r="D214" s="44"/>
      <c r="E214" s="44"/>
      <c r="F214" s="44"/>
      <c r="G214" s="44"/>
      <c r="H214" s="44"/>
      <c r="I214" s="44"/>
      <c r="J214" s="44"/>
      <c r="K214" s="44"/>
      <c r="L214" s="44"/>
      <c r="M214" s="44"/>
      <c r="N214" s="44"/>
      <c r="O214" s="44"/>
      <c r="P214" s="44"/>
      <c r="Q214" s="44"/>
      <c r="R214" s="44"/>
      <c r="S214" s="97"/>
      <c r="AP214" s="3" t="b">
        <f>IF(AND(V5=3,R48=3),TRUE,FALSE)</f>
        <v>0</v>
      </c>
      <c r="AQ214" s="3" t="b">
        <f>IF(BU218="",FALSE,TRUE)</f>
        <v>0</v>
      </c>
      <c r="AR214" s="3" t="b">
        <f>AND($AP$214,AQ214)</f>
        <v>0</v>
      </c>
      <c r="AS214" s="111" t="b">
        <f t="shared" ref="AS214:AS220" si="14">IF($W$59=TRUE,FALSE,AND($AP$213,AQ214))</f>
        <v>0</v>
      </c>
      <c r="AT214" s="3" t="b">
        <f>AND($AP$212,AQ214)</f>
        <v>0</v>
      </c>
      <c r="AV214" s="11" t="b">
        <f t="shared" ref="AV214:AV220" si="15">IF(AND($V$5=2,$R$48=3,$W$59=FALSE,AQ214=TRUE),TRUE,FALSE)</f>
        <v>0</v>
      </c>
      <c r="BT214" s="4"/>
      <c r="BU214" s="197"/>
      <c r="BV214" s="156"/>
      <c r="BW214" s="156"/>
      <c r="BX214" s="156"/>
      <c r="BY214" s="156"/>
      <c r="BZ214" s="156"/>
      <c r="CA214" s="197"/>
      <c r="CB214" s="217"/>
      <c r="CC214" s="217"/>
      <c r="CD214" s="217"/>
      <c r="CE214" s="45"/>
      <c r="CF214" s="44"/>
      <c r="CG214" s="44"/>
      <c r="CH214" s="44"/>
      <c r="CI214" s="44"/>
      <c r="CJ214" s="44"/>
      <c r="CK214" s="44"/>
      <c r="CL214" s="44"/>
      <c r="CM214" s="44"/>
      <c r="CN214" s="44"/>
      <c r="CO214" s="44"/>
      <c r="CP214" s="44"/>
      <c r="CQ214" s="44"/>
      <c r="CR214" s="44"/>
      <c r="CS214" s="44"/>
      <c r="CT214" s="44"/>
      <c r="CU214" s="44"/>
      <c r="CV214" s="44"/>
      <c r="CW214" s="44"/>
      <c r="CX214" s="44"/>
      <c r="CY214" s="44"/>
      <c r="CZ214" s="44"/>
      <c r="DA214" s="44"/>
      <c r="DB214" s="44"/>
      <c r="DC214" s="44"/>
      <c r="DD214" s="44"/>
      <c r="DE214" s="44"/>
      <c r="DF214" s="44"/>
      <c r="DG214" s="44"/>
      <c r="DH214" s="44"/>
      <c r="DI214" s="44"/>
      <c r="DJ214" s="44"/>
      <c r="DK214" s="44"/>
      <c r="DL214" s="44"/>
      <c r="DM214" s="44"/>
      <c r="DN214" s="44"/>
      <c r="DO214" s="44"/>
      <c r="DP214" s="44"/>
      <c r="DQ214" s="44"/>
      <c r="DR214" s="44"/>
      <c r="DS214" s="44"/>
      <c r="DT214" s="44"/>
      <c r="DU214" s="44"/>
      <c r="DV214" s="44"/>
      <c r="DW214" s="44"/>
      <c r="DX214" s="44"/>
      <c r="DY214" s="44"/>
      <c r="DZ214" s="44"/>
      <c r="EA214" s="44"/>
      <c r="EB214" s="44"/>
      <c r="EC214" s="44"/>
      <c r="ED214" s="44"/>
      <c r="EE214" s="44"/>
      <c r="EF214" s="44"/>
      <c r="EG214" s="44"/>
    </row>
    <row r="215" spans="1:137" ht="15" customHeight="1">
      <c r="A215" s="14"/>
      <c r="B215" s="44"/>
      <c r="C215" s="44"/>
      <c r="D215" s="44"/>
      <c r="E215" s="44"/>
      <c r="F215" s="44"/>
      <c r="G215" s="44"/>
      <c r="H215" s="44"/>
      <c r="I215" s="44"/>
      <c r="J215" s="44"/>
      <c r="K215" s="44"/>
      <c r="L215" s="44"/>
      <c r="M215" s="44"/>
      <c r="N215" s="44"/>
      <c r="O215" s="44"/>
      <c r="P215" s="44"/>
      <c r="Q215" s="44"/>
      <c r="R215" s="44"/>
      <c r="S215" s="97"/>
      <c r="AQ215" s="3" t="b">
        <f>IF(BU222="",FALSE,TRUE)</f>
        <v>0</v>
      </c>
      <c r="AR215" s="3" t="b">
        <f t="shared" ref="AR215:AR220" si="16">AND($AP$214,AQ215)</f>
        <v>0</v>
      </c>
      <c r="AS215" s="111" t="b">
        <f t="shared" si="14"/>
        <v>0</v>
      </c>
      <c r="AT215" s="3" t="b">
        <f t="shared" ref="AT215:AT220" si="17">AND($AP$212,AQ215)</f>
        <v>0</v>
      </c>
      <c r="AV215" s="11" t="b">
        <f t="shared" si="15"/>
        <v>0</v>
      </c>
      <c r="BT215" s="4"/>
      <c r="BU215" s="197"/>
      <c r="BV215" s="156"/>
      <c r="BW215" s="156"/>
      <c r="BX215" s="156"/>
      <c r="BY215" s="156"/>
      <c r="BZ215" s="156"/>
      <c r="CA215" s="197"/>
      <c r="CB215" s="217"/>
      <c r="CC215" s="217"/>
      <c r="CD215" s="217"/>
      <c r="CE215" s="45"/>
      <c r="CF215" s="44"/>
      <c r="CG215" s="44"/>
      <c r="CH215" s="44"/>
      <c r="CI215" s="44"/>
      <c r="CJ215" s="44"/>
      <c r="CK215" s="44"/>
      <c r="CL215" s="44"/>
      <c r="CM215" s="44"/>
      <c r="CN215" s="44"/>
      <c r="CO215" s="44"/>
      <c r="CP215" s="44"/>
      <c r="CQ215" s="44"/>
      <c r="CR215" s="44"/>
      <c r="CS215" s="44"/>
      <c r="CT215" s="44"/>
      <c r="CU215" s="44"/>
      <c r="CV215" s="44"/>
      <c r="CW215" s="44"/>
      <c r="CX215" s="44"/>
      <c r="CY215" s="44"/>
      <c r="CZ215" s="44"/>
      <c r="DA215" s="44"/>
      <c r="DB215" s="44"/>
      <c r="DC215" s="44"/>
      <c r="DD215" s="44"/>
      <c r="DE215" s="44"/>
      <c r="DF215" s="44"/>
      <c r="DG215" s="44"/>
      <c r="DH215" s="44"/>
      <c r="DI215" s="44"/>
      <c r="DJ215" s="44"/>
      <c r="DK215" s="44"/>
      <c r="DL215" s="44"/>
      <c r="DM215" s="44"/>
      <c r="DN215" s="44"/>
      <c r="DO215" s="44"/>
      <c r="DP215" s="44"/>
      <c r="DQ215" s="44"/>
      <c r="DR215" s="44"/>
      <c r="DS215" s="44"/>
      <c r="DT215" s="44"/>
      <c r="DU215" s="44"/>
      <c r="DV215" s="44"/>
      <c r="DW215" s="44"/>
      <c r="DX215" s="44"/>
      <c r="DY215" s="44"/>
      <c r="DZ215" s="44"/>
      <c r="EA215" s="44"/>
      <c r="EB215" s="44"/>
      <c r="EC215" s="44"/>
      <c r="ED215" s="44"/>
      <c r="EE215" s="44"/>
      <c r="EF215" s="44"/>
      <c r="EG215" s="44"/>
    </row>
    <row r="216" spans="1:137" ht="29.25" customHeight="1">
      <c r="A216" s="14"/>
      <c r="B216" s="44"/>
      <c r="C216" s="44"/>
      <c r="D216" s="44"/>
      <c r="E216" s="44"/>
      <c r="F216" s="44"/>
      <c r="G216" s="44"/>
      <c r="H216" s="44"/>
      <c r="I216" s="44"/>
      <c r="J216" s="44"/>
      <c r="K216" s="44"/>
      <c r="L216" s="44"/>
      <c r="M216" s="44"/>
      <c r="N216" s="44"/>
      <c r="O216" s="44"/>
      <c r="P216" s="44"/>
      <c r="Q216" s="44"/>
      <c r="R216" s="44"/>
      <c r="S216" s="97"/>
      <c r="AQ216" s="3" t="b">
        <f>IF(BU224="",FALSE,TRUE)</f>
        <v>0</v>
      </c>
      <c r="AR216" s="3" t="b">
        <f t="shared" si="16"/>
        <v>0</v>
      </c>
      <c r="AS216" s="111" t="b">
        <f t="shared" si="14"/>
        <v>0</v>
      </c>
      <c r="AT216" s="3" t="b">
        <f t="shared" si="17"/>
        <v>0</v>
      </c>
      <c r="AV216" s="11" t="b">
        <f t="shared" si="15"/>
        <v>0</v>
      </c>
      <c r="BT216" s="4"/>
      <c r="BU216" s="157" t="str">
        <f>IF($W$59=TRUE,"Type:",AF85)</f>
        <v/>
      </c>
      <c r="BV216" s="156" t="str">
        <f>IF(W59=TRUE,"Handelsnavn (Vannbasert/Løsemiddelbasert):",$AG$85)</f>
        <v/>
      </c>
      <c r="BW216" s="156"/>
      <c r="BX216" s="156"/>
      <c r="BY216" s="156" t="str">
        <f>IF(W59=TRUE,"VOC-emisjoner 
etter 3 døgn:",IF(BQ208=TRUE,W102,AH85))</f>
        <v/>
      </c>
      <c r="BZ216" s="156"/>
      <c r="CA216" s="157" t="str">
        <f>IF(W59=TRUE,"VOC-innhold:",IF(BQ208=TRUE,"",W102))</f>
        <v/>
      </c>
      <c r="CB216" s="156" t="str">
        <f>IF(W59=TRUE,"Svanemerket 
eller EU-blomst:",IF(BU216="","",IF(O97="","",O97)))</f>
        <v/>
      </c>
      <c r="CC216" s="156"/>
      <c r="CD216" s="156"/>
      <c r="CE216" s="45"/>
      <c r="CF216" s="44"/>
      <c r="CG216" s="44"/>
      <c r="CH216" s="44"/>
      <c r="CI216" s="44"/>
      <c r="CJ216" s="44"/>
      <c r="CK216" s="44"/>
      <c r="CL216" s="44"/>
      <c r="CM216" s="44"/>
      <c r="CN216" s="44"/>
      <c r="CO216" s="44"/>
      <c r="CP216" s="44"/>
      <c r="CQ216" s="44"/>
      <c r="CR216" s="44"/>
      <c r="CS216" s="44"/>
      <c r="CT216" s="44"/>
      <c r="CU216" s="44"/>
      <c r="CV216" s="44"/>
      <c r="CW216" s="44"/>
      <c r="CX216" s="44"/>
      <c r="CY216" s="44"/>
      <c r="CZ216" s="44"/>
      <c r="DA216" s="44"/>
      <c r="DB216" s="44"/>
      <c r="DC216" s="44"/>
      <c r="DD216" s="44"/>
      <c r="DE216" s="44"/>
      <c r="DF216" s="44"/>
      <c r="DG216" s="44"/>
      <c r="DH216" s="44"/>
      <c r="DI216" s="44"/>
      <c r="DJ216" s="44"/>
      <c r="DK216" s="44"/>
      <c r="DL216" s="44"/>
      <c r="DM216" s="44"/>
      <c r="DN216" s="44"/>
      <c r="DO216" s="44"/>
      <c r="DP216" s="44"/>
      <c r="DQ216" s="44"/>
      <c r="DR216" s="44"/>
      <c r="DS216" s="44"/>
      <c r="DT216" s="44"/>
      <c r="DU216" s="44"/>
      <c r="DV216" s="44"/>
      <c r="DW216" s="44"/>
      <c r="DX216" s="44"/>
      <c r="DY216" s="44"/>
      <c r="DZ216" s="44"/>
      <c r="EA216" s="44"/>
      <c r="EB216" s="44"/>
      <c r="EC216" s="44"/>
      <c r="ED216" s="44"/>
      <c r="EE216" s="44"/>
      <c r="EF216" s="44"/>
      <c r="EG216" s="44"/>
    </row>
    <row r="217" spans="1:137" ht="36.75" customHeight="1">
      <c r="A217" s="14"/>
      <c r="B217" s="44"/>
      <c r="C217" s="44"/>
      <c r="D217" s="44"/>
      <c r="E217" s="44"/>
      <c r="F217" s="44"/>
      <c r="G217" s="44"/>
      <c r="H217" s="44"/>
      <c r="I217" s="44"/>
      <c r="J217" s="44"/>
      <c r="K217" s="44"/>
      <c r="L217" s="44"/>
      <c r="M217" s="44"/>
      <c r="N217" s="44"/>
      <c r="O217" s="44"/>
      <c r="P217" s="44"/>
      <c r="Q217" s="44"/>
      <c r="R217" s="44"/>
      <c r="S217" s="97"/>
      <c r="AQ217" s="3" t="b">
        <f>IF(BU226="",FALSE,TRUE)</f>
        <v>0</v>
      </c>
      <c r="AR217" s="3" t="b">
        <f t="shared" si="16"/>
        <v>0</v>
      </c>
      <c r="AS217" s="111" t="b">
        <f t="shared" si="14"/>
        <v>0</v>
      </c>
      <c r="AT217" s="3" t="b">
        <f t="shared" si="17"/>
        <v>0</v>
      </c>
      <c r="AV217" s="11" t="b">
        <f t="shared" si="15"/>
        <v>0</v>
      </c>
      <c r="BT217" s="4"/>
      <c r="BU217" s="157"/>
      <c r="BV217" s="156"/>
      <c r="BW217" s="156"/>
      <c r="BX217" s="156"/>
      <c r="BY217" s="156"/>
      <c r="BZ217" s="156"/>
      <c r="CA217" s="157"/>
      <c r="CB217" s="156"/>
      <c r="CC217" s="156"/>
      <c r="CD217" s="156"/>
      <c r="CE217" s="45"/>
      <c r="CF217" s="44"/>
      <c r="CG217" s="44"/>
      <c r="CH217" s="44"/>
      <c r="CI217" s="44"/>
      <c r="CJ217" s="44"/>
      <c r="CK217" s="44"/>
      <c r="CL217" s="44"/>
      <c r="CM217" s="44"/>
      <c r="CN217" s="44"/>
      <c r="CO217" s="44"/>
      <c r="CP217" s="44"/>
      <c r="CQ217" s="44"/>
      <c r="CR217" s="44"/>
      <c r="CS217" s="44"/>
      <c r="CT217" s="44"/>
      <c r="CU217" s="44"/>
      <c r="CV217" s="44"/>
      <c r="CW217" s="44"/>
      <c r="CX217" s="44"/>
      <c r="CY217" s="44"/>
      <c r="CZ217" s="44"/>
      <c r="DA217" s="44"/>
      <c r="DB217" s="44"/>
      <c r="DC217" s="44"/>
      <c r="DD217" s="44"/>
      <c r="DE217" s="44"/>
      <c r="DF217" s="44"/>
      <c r="DG217" s="44"/>
      <c r="DH217" s="44"/>
      <c r="DI217" s="44"/>
      <c r="DJ217" s="44"/>
      <c r="DK217" s="44"/>
      <c r="DL217" s="44"/>
      <c r="DM217" s="44"/>
      <c r="DN217" s="44"/>
      <c r="DO217" s="44"/>
      <c r="DP217" s="44"/>
      <c r="DQ217" s="44"/>
      <c r="DR217" s="44"/>
      <c r="DS217" s="44"/>
      <c r="DT217" s="44"/>
      <c r="DU217" s="44"/>
      <c r="DV217" s="44"/>
      <c r="DW217" s="44"/>
      <c r="DX217" s="44"/>
      <c r="DY217" s="44"/>
      <c r="DZ217" s="44"/>
      <c r="EA217" s="44"/>
      <c r="EB217" s="44"/>
      <c r="EC217" s="44"/>
      <c r="ED217" s="44"/>
      <c r="EE217" s="44"/>
      <c r="EF217" s="44"/>
      <c r="EG217" s="44"/>
    </row>
    <row r="218" spans="1:137" ht="15" customHeight="1">
      <c r="A218" s="14"/>
      <c r="B218" s="44"/>
      <c r="C218" s="44"/>
      <c r="D218" s="44"/>
      <c r="E218" s="44"/>
      <c r="F218" s="44"/>
      <c r="G218" s="44"/>
      <c r="H218" s="44"/>
      <c r="I218" s="44"/>
      <c r="J218" s="44"/>
      <c r="K218" s="44"/>
      <c r="L218" s="44"/>
      <c r="M218" s="44"/>
      <c r="N218" s="44"/>
      <c r="O218" s="44"/>
      <c r="P218" s="44"/>
      <c r="Q218" s="44"/>
      <c r="R218" s="44"/>
      <c r="S218" s="97"/>
      <c r="AQ218" s="3" t="b">
        <f>IF(BU229="",FALSE,TRUE)</f>
        <v>0</v>
      </c>
      <c r="AR218" s="3" t="b">
        <f t="shared" si="16"/>
        <v>0</v>
      </c>
      <c r="AS218" s="111" t="b">
        <f t="shared" si="14"/>
        <v>0</v>
      </c>
      <c r="AT218" s="3" t="b">
        <f t="shared" si="17"/>
        <v>0</v>
      </c>
      <c r="AV218" s="11" t="b">
        <f t="shared" si="15"/>
        <v>0</v>
      </c>
      <c r="BU218" s="157" t="str">
        <f>IF(BE220=TRUE,AP184,C104)</f>
        <v/>
      </c>
      <c r="BV218" s="156" t="str">
        <f>IF(BJ220=TRUE,AQ184,AL85)</f>
        <v/>
      </c>
      <c r="BW218" s="156"/>
      <c r="BX218" s="156"/>
      <c r="BY218" s="156" t="str">
        <f>IF($W$59=TRUE,AS184,IF(BQ208=TRUE,W108,AM85))</f>
        <v/>
      </c>
      <c r="BZ218" s="156"/>
      <c r="CA218" s="157" t="str">
        <f>IF(BO220=TRUE,AT184,IF(BQ208=TRUE,"",W108))</f>
        <v/>
      </c>
      <c r="CB218" s="156" t="str">
        <f>IF(BS220=TRUE,AU184,IF(BU218="","",IF(O104="","",O104)))</f>
        <v/>
      </c>
      <c r="CC218" s="156"/>
      <c r="CD218" s="156"/>
      <c r="CE218" s="45"/>
      <c r="CF218" s="44"/>
      <c r="CG218" s="44"/>
      <c r="CH218" s="44"/>
      <c r="CI218" s="44"/>
      <c r="CJ218" s="44"/>
      <c r="CK218" s="44"/>
      <c r="CL218" s="44"/>
      <c r="CM218" s="44"/>
      <c r="CN218" s="44"/>
      <c r="CO218" s="44"/>
      <c r="CP218" s="44"/>
      <c r="CQ218" s="44"/>
      <c r="CR218" s="44"/>
      <c r="CS218" s="44"/>
      <c r="CT218" s="44"/>
      <c r="CU218" s="44"/>
      <c r="CV218" s="44"/>
      <c r="CW218" s="44"/>
      <c r="CX218" s="44"/>
      <c r="CY218" s="44"/>
      <c r="CZ218" s="44"/>
      <c r="DA218" s="44"/>
      <c r="DB218" s="44"/>
      <c r="DC218" s="44"/>
      <c r="DD218" s="44"/>
      <c r="DE218" s="44"/>
      <c r="DF218" s="44"/>
      <c r="DG218" s="44"/>
      <c r="DH218" s="44"/>
      <c r="DI218" s="44"/>
      <c r="DJ218" s="44"/>
      <c r="DK218" s="44"/>
      <c r="DL218" s="44"/>
      <c r="DM218" s="44"/>
      <c r="DN218" s="44"/>
      <c r="DO218" s="44"/>
      <c r="DP218" s="44"/>
      <c r="DQ218" s="44"/>
      <c r="DR218" s="44"/>
      <c r="DS218" s="44"/>
      <c r="DT218" s="44"/>
      <c r="DU218" s="44"/>
      <c r="DV218" s="44"/>
      <c r="DW218" s="44"/>
      <c r="DX218" s="44"/>
      <c r="DY218" s="44"/>
      <c r="DZ218" s="44"/>
      <c r="EA218" s="44"/>
      <c r="EB218" s="44"/>
      <c r="EC218" s="44"/>
      <c r="ED218" s="44"/>
      <c r="EE218" s="44"/>
      <c r="EF218" s="44"/>
      <c r="EG218" s="44"/>
    </row>
    <row r="219" spans="1:137">
      <c r="A219" s="14"/>
      <c r="B219" s="44"/>
      <c r="C219" s="44"/>
      <c r="D219" s="44"/>
      <c r="E219" s="44"/>
      <c r="F219" s="44"/>
      <c r="G219" s="44"/>
      <c r="H219" s="44"/>
      <c r="I219" s="44"/>
      <c r="J219" s="44"/>
      <c r="K219" s="44"/>
      <c r="L219" s="44"/>
      <c r="M219" s="44"/>
      <c r="N219" s="44"/>
      <c r="O219" s="44"/>
      <c r="P219" s="44"/>
      <c r="Q219" s="44"/>
      <c r="R219" s="44"/>
      <c r="S219" s="97"/>
      <c r="AQ219" s="3" t="b">
        <f>IF(BU231="",FALSE,TRUE)</f>
        <v>0</v>
      </c>
      <c r="AR219" s="3" t="b">
        <f t="shared" si="16"/>
        <v>0</v>
      </c>
      <c r="AS219" s="111" t="b">
        <f t="shared" si="14"/>
        <v>0</v>
      </c>
      <c r="AT219" s="3" t="b">
        <f t="shared" si="17"/>
        <v>0</v>
      </c>
      <c r="AU219" s="11"/>
      <c r="AV219" s="11" t="b">
        <f t="shared" si="15"/>
        <v>0</v>
      </c>
      <c r="AW219" s="11"/>
      <c r="BU219" s="157"/>
      <c r="BV219" s="156"/>
      <c r="BW219" s="156"/>
      <c r="BX219" s="156"/>
      <c r="BY219" s="156"/>
      <c r="BZ219" s="156"/>
      <c r="CA219" s="157"/>
      <c r="CB219" s="156"/>
      <c r="CC219" s="156"/>
      <c r="CD219" s="156"/>
      <c r="CE219" s="45"/>
      <c r="CF219" s="44"/>
      <c r="CG219" s="44"/>
      <c r="CH219" s="44"/>
      <c r="CI219" s="44"/>
      <c r="CJ219" s="44"/>
      <c r="CK219" s="44"/>
      <c r="CL219" s="44"/>
      <c r="CM219" s="44"/>
      <c r="CN219" s="44"/>
      <c r="CO219" s="44"/>
      <c r="CP219" s="44"/>
      <c r="CQ219" s="44"/>
      <c r="CR219" s="44"/>
      <c r="CS219" s="44"/>
      <c r="CT219" s="44"/>
      <c r="CU219" s="44"/>
      <c r="CV219" s="44"/>
      <c r="CW219" s="44"/>
      <c r="CX219" s="44"/>
      <c r="CY219" s="44"/>
      <c r="CZ219" s="44"/>
      <c r="DA219" s="44"/>
      <c r="DB219" s="44"/>
      <c r="DC219" s="44"/>
      <c r="DD219" s="44"/>
      <c r="DE219" s="44"/>
      <c r="DF219" s="44"/>
      <c r="DG219" s="44"/>
      <c r="DH219" s="44"/>
      <c r="DI219" s="44"/>
      <c r="DJ219" s="44"/>
      <c r="DK219" s="44"/>
      <c r="DL219" s="44"/>
      <c r="DM219" s="44"/>
      <c r="DN219" s="44"/>
      <c r="DO219" s="44"/>
      <c r="DP219" s="44"/>
      <c r="DQ219" s="44"/>
      <c r="DR219" s="44"/>
      <c r="DS219" s="44"/>
      <c r="DT219" s="44"/>
      <c r="DU219" s="44"/>
      <c r="DV219" s="44"/>
      <c r="DW219" s="44"/>
      <c r="DX219" s="44"/>
      <c r="DY219" s="44"/>
      <c r="DZ219" s="44"/>
      <c r="EA219" s="44"/>
      <c r="EB219" s="44"/>
      <c r="EC219" s="44"/>
      <c r="ED219" s="44"/>
      <c r="EE219" s="44"/>
      <c r="EF219" s="44"/>
      <c r="EG219" s="44"/>
    </row>
    <row r="220" spans="1:137">
      <c r="A220" s="14"/>
      <c r="B220" s="44"/>
      <c r="C220" s="44"/>
      <c r="D220" s="44"/>
      <c r="E220" s="44"/>
      <c r="F220" s="44"/>
      <c r="G220" s="44"/>
      <c r="H220" s="44"/>
      <c r="I220" s="44"/>
      <c r="J220" s="44"/>
      <c r="K220" s="44"/>
      <c r="L220" s="44"/>
      <c r="M220" s="44"/>
      <c r="N220" s="44"/>
      <c r="O220" s="44"/>
      <c r="P220" s="44"/>
      <c r="Q220" s="44"/>
      <c r="R220" s="44"/>
      <c r="S220" s="97"/>
      <c r="AQ220" s="3" t="b">
        <f>IF(BU233="",FALSE,TRUE)</f>
        <v>0</v>
      </c>
      <c r="AR220" s="3" t="b">
        <f t="shared" si="16"/>
        <v>0</v>
      </c>
      <c r="AS220" s="111" t="b">
        <f t="shared" si="14"/>
        <v>0</v>
      </c>
      <c r="AT220" s="3" t="b">
        <f t="shared" si="17"/>
        <v>0</v>
      </c>
      <c r="AU220" s="11"/>
      <c r="AV220" s="11" t="b">
        <f t="shared" si="15"/>
        <v>0</v>
      </c>
      <c r="AW220" s="11"/>
      <c r="BB220" s="3" t="b">
        <f>IF(E170="",FALSE,TRUE)</f>
        <v>0</v>
      </c>
      <c r="BC220" s="3" t="b">
        <f>IF($W$59=TRUE,TRUE)</f>
        <v>0</v>
      </c>
      <c r="BE220" s="12" t="b">
        <f>AND(BB220:BC220)</f>
        <v>0</v>
      </c>
      <c r="BG220" s="3" t="b">
        <f>IF(C170="",FALSE,TRUE)</f>
        <v>0</v>
      </c>
      <c r="BI220" s="3" t="b">
        <f>IF($W$59=TRUE,TRUE)</f>
        <v>0</v>
      </c>
      <c r="BJ220" s="12" t="b">
        <f>AND(BG220:BI220)</f>
        <v>0</v>
      </c>
      <c r="BM220" s="3" t="b">
        <f>IF(AT184="",FALSE,TRUE)</f>
        <v>1</v>
      </c>
      <c r="BN220" s="3" t="b">
        <f>IF($W$59=TRUE,TRUE)</f>
        <v>0</v>
      </c>
      <c r="BO220" s="12" t="b">
        <f>AND(BM220:BN220)</f>
        <v>0</v>
      </c>
      <c r="BQ220" s="3" t="b">
        <f>IF(L170="",FALSE,TRUE)</f>
        <v>0</v>
      </c>
      <c r="BR220" s="3" t="b">
        <f>IF($W$59=TRUE,TRUE)</f>
        <v>0</v>
      </c>
      <c r="BS220" s="12" t="b">
        <f>AND(BQ220:BR220)</f>
        <v>0</v>
      </c>
      <c r="BU220" s="157"/>
      <c r="BV220" s="156"/>
      <c r="BW220" s="156"/>
      <c r="BX220" s="156"/>
      <c r="BY220" s="156"/>
      <c r="BZ220" s="156"/>
      <c r="CA220" s="157"/>
      <c r="CB220" s="156"/>
      <c r="CC220" s="156"/>
      <c r="CD220" s="156"/>
      <c r="CE220" s="45"/>
      <c r="CF220" s="44"/>
      <c r="CG220" s="44"/>
      <c r="CH220" s="44"/>
      <c r="CI220" s="44"/>
      <c r="CJ220" s="44"/>
      <c r="CK220" s="44"/>
      <c r="CL220" s="44"/>
      <c r="CM220" s="44"/>
      <c r="CN220" s="44"/>
      <c r="CO220" s="44"/>
      <c r="CP220" s="44"/>
      <c r="CQ220" s="44"/>
      <c r="CR220" s="44"/>
      <c r="CS220" s="44"/>
      <c r="CT220" s="44"/>
      <c r="CU220" s="44"/>
      <c r="CV220" s="44"/>
      <c r="CW220" s="44"/>
      <c r="CX220" s="44"/>
      <c r="CY220" s="44"/>
      <c r="CZ220" s="44"/>
      <c r="DA220" s="44"/>
      <c r="DB220" s="44"/>
      <c r="DC220" s="44"/>
      <c r="DD220" s="44"/>
      <c r="DE220" s="44"/>
      <c r="DF220" s="44"/>
      <c r="DG220" s="44"/>
      <c r="DH220" s="44"/>
      <c r="DI220" s="44"/>
      <c r="DJ220" s="44"/>
      <c r="DK220" s="44"/>
      <c r="DL220" s="44"/>
      <c r="DM220" s="44"/>
      <c r="DN220" s="44"/>
      <c r="DO220" s="44"/>
      <c r="DP220" s="44"/>
      <c r="DQ220" s="44"/>
      <c r="DR220" s="44"/>
      <c r="DS220" s="44"/>
      <c r="DT220" s="44"/>
      <c r="DU220" s="44"/>
      <c r="DV220" s="44"/>
      <c r="DW220" s="44"/>
      <c r="DX220" s="44"/>
      <c r="DY220" s="44"/>
      <c r="DZ220" s="44"/>
      <c r="EA220" s="44"/>
      <c r="EB220" s="44"/>
      <c r="EC220" s="44"/>
      <c r="ED220" s="44"/>
      <c r="EE220" s="44"/>
      <c r="EF220" s="44"/>
      <c r="EG220" s="44"/>
    </row>
    <row r="221" spans="1:137" ht="22.5" customHeight="1">
      <c r="A221" s="14"/>
      <c r="B221" s="44"/>
      <c r="C221" s="44"/>
      <c r="D221" s="44"/>
      <c r="E221" s="44"/>
      <c r="F221" s="44"/>
      <c r="G221" s="44"/>
      <c r="H221" s="44"/>
      <c r="I221" s="44"/>
      <c r="J221" s="44"/>
      <c r="K221" s="44"/>
      <c r="L221" s="44"/>
      <c r="M221" s="44"/>
      <c r="N221" s="44"/>
      <c r="O221" s="44"/>
      <c r="P221" s="44"/>
      <c r="Q221" s="44"/>
      <c r="R221" s="44"/>
      <c r="S221" s="97"/>
      <c r="AT221" s="11"/>
      <c r="AU221" s="11"/>
      <c r="AV221" s="11"/>
      <c r="AW221" s="11"/>
      <c r="BU221" s="157"/>
      <c r="BV221" s="156"/>
      <c r="BW221" s="156"/>
      <c r="BX221" s="156"/>
      <c r="BY221" s="156"/>
      <c r="BZ221" s="156"/>
      <c r="CA221" s="157"/>
      <c r="CB221" s="156"/>
      <c r="CC221" s="156"/>
      <c r="CD221" s="156"/>
      <c r="CE221" s="45"/>
      <c r="CF221" s="44"/>
      <c r="CG221" s="44"/>
      <c r="CH221" s="44"/>
      <c r="CI221" s="44"/>
      <c r="CJ221" s="44"/>
      <c r="CK221" s="44"/>
      <c r="CL221" s="44"/>
      <c r="CM221" s="44"/>
      <c r="CN221" s="44"/>
      <c r="CO221" s="44"/>
      <c r="CP221" s="44"/>
      <c r="CQ221" s="44"/>
      <c r="CR221" s="44"/>
      <c r="CS221" s="44"/>
      <c r="CT221" s="44"/>
      <c r="CU221" s="44"/>
      <c r="CV221" s="44"/>
      <c r="CW221" s="44"/>
      <c r="CX221" s="44"/>
      <c r="CY221" s="44"/>
      <c r="CZ221" s="44"/>
      <c r="DA221" s="44"/>
      <c r="DB221" s="44"/>
      <c r="DC221" s="44"/>
      <c r="DD221" s="44"/>
      <c r="DE221" s="44"/>
      <c r="DF221" s="44"/>
      <c r="DG221" s="44"/>
      <c r="DH221" s="44"/>
      <c r="DI221" s="44"/>
      <c r="DJ221" s="44"/>
      <c r="DK221" s="44"/>
      <c r="DL221" s="44"/>
      <c r="DM221" s="44"/>
      <c r="DN221" s="44"/>
      <c r="DO221" s="44"/>
      <c r="DP221" s="44"/>
      <c r="DQ221" s="44"/>
      <c r="DR221" s="44"/>
      <c r="DS221" s="44"/>
      <c r="DT221" s="44"/>
      <c r="DU221" s="44"/>
      <c r="DV221" s="44"/>
      <c r="DW221" s="44"/>
      <c r="DX221" s="44"/>
      <c r="DY221" s="44"/>
      <c r="DZ221" s="44"/>
      <c r="EA221" s="44"/>
      <c r="EB221" s="44"/>
      <c r="EC221" s="44"/>
      <c r="ED221" s="44"/>
      <c r="EE221" s="44"/>
      <c r="EF221" s="44"/>
      <c r="EG221" s="44"/>
    </row>
    <row r="222" spans="1:137">
      <c r="A222" s="14"/>
      <c r="B222" s="44"/>
      <c r="C222" s="44"/>
      <c r="D222" s="44"/>
      <c r="E222" s="44"/>
      <c r="F222" s="44"/>
      <c r="G222" s="44"/>
      <c r="H222" s="44"/>
      <c r="I222" s="44"/>
      <c r="J222" s="44"/>
      <c r="K222" s="44"/>
      <c r="L222" s="44"/>
      <c r="M222" s="44"/>
      <c r="N222" s="44"/>
      <c r="O222" s="44"/>
      <c r="P222" s="44"/>
      <c r="Q222" s="44"/>
      <c r="R222" s="44"/>
      <c r="S222" s="97"/>
      <c r="AS222" s="8"/>
      <c r="AT222" s="11"/>
      <c r="AU222" s="11"/>
      <c r="AV222" s="11"/>
      <c r="AW222" s="11"/>
      <c r="BU222" s="157" t="str">
        <f>IF(BE223=TRUE,E173,C111)</f>
        <v/>
      </c>
      <c r="BV222" s="156" t="str">
        <f>IF(BJ223=TRUE,C173&amp;" ("&amp;AD181&amp;")",AP85)</f>
        <v/>
      </c>
      <c r="BW222" s="156"/>
      <c r="BX222" s="156"/>
      <c r="BY222" s="156" t="str">
        <f>IF($W$59=TRUE,J173&amp;" "&amp;K173,IF(BQ208=TRUE,W112,AQ85))</f>
        <v/>
      </c>
      <c r="BZ222" s="156"/>
      <c r="CA222" s="157" t="str">
        <f>IF(BO223=TRUE,Z181,IF(BQ208=TRUE,"",W112))</f>
        <v/>
      </c>
      <c r="CB222" s="156" t="str">
        <f>IF(BS223=TRUE,L173,IF(BU222="","",IF(O111="","",O111)))</f>
        <v/>
      </c>
      <c r="CC222" s="156"/>
      <c r="CD222" s="156"/>
      <c r="CE222" s="45"/>
      <c r="CF222" s="44"/>
      <c r="CG222" s="44"/>
      <c r="CH222" s="44"/>
      <c r="CI222" s="44"/>
      <c r="CJ222" s="44"/>
      <c r="CK222" s="44"/>
      <c r="CL222" s="44"/>
      <c r="CM222" s="44"/>
      <c r="CN222" s="44"/>
      <c r="CO222" s="44"/>
      <c r="CP222" s="44"/>
      <c r="CQ222" s="44"/>
      <c r="CR222" s="44"/>
      <c r="CS222" s="44"/>
      <c r="CT222" s="44"/>
      <c r="CU222" s="44"/>
      <c r="CV222" s="44"/>
      <c r="CW222" s="44"/>
      <c r="CX222" s="44"/>
      <c r="CY222" s="44"/>
      <c r="CZ222" s="44"/>
      <c r="DA222" s="44"/>
      <c r="DB222" s="44"/>
      <c r="DC222" s="44"/>
      <c r="DD222" s="44"/>
      <c r="DE222" s="44"/>
      <c r="DF222" s="44"/>
      <c r="DG222" s="44"/>
      <c r="DH222" s="44"/>
      <c r="DI222" s="44"/>
      <c r="DJ222" s="44"/>
      <c r="DK222" s="44"/>
      <c r="DL222" s="44"/>
      <c r="DM222" s="44"/>
      <c r="DN222" s="44"/>
      <c r="DO222" s="44"/>
      <c r="DP222" s="44"/>
      <c r="DQ222" s="44"/>
      <c r="DR222" s="44"/>
      <c r="DS222" s="44"/>
      <c r="DT222" s="44"/>
      <c r="DU222" s="44"/>
      <c r="DV222" s="44"/>
      <c r="DW222" s="44"/>
      <c r="DX222" s="44"/>
      <c r="DY222" s="44"/>
      <c r="DZ222" s="44"/>
      <c r="EA222" s="44"/>
      <c r="EB222" s="44"/>
      <c r="EC222" s="44"/>
      <c r="ED222" s="44"/>
      <c r="EE222" s="44"/>
      <c r="EF222" s="44"/>
      <c r="EG222" s="44"/>
    </row>
    <row r="223" spans="1:137" ht="19.5" customHeight="1">
      <c r="A223" s="14"/>
      <c r="B223" s="44"/>
      <c r="C223" s="44"/>
      <c r="D223" s="44"/>
      <c r="E223" s="44"/>
      <c r="F223" s="44"/>
      <c r="G223" s="44"/>
      <c r="H223" s="44"/>
      <c r="I223" s="44"/>
      <c r="J223" s="44"/>
      <c r="K223" s="44"/>
      <c r="L223" s="44"/>
      <c r="M223" s="44"/>
      <c r="N223" s="44"/>
      <c r="O223" s="44"/>
      <c r="P223" s="44"/>
      <c r="Q223" s="44"/>
      <c r="R223" s="44"/>
      <c r="S223" s="97"/>
      <c r="AS223" s="8"/>
      <c r="AT223" s="11"/>
      <c r="AU223" s="11"/>
      <c r="AV223" s="11"/>
      <c r="AW223" s="11"/>
      <c r="BB223" s="3" t="b">
        <f>IF(E173="",FALSE,TRUE)</f>
        <v>0</v>
      </c>
      <c r="BC223" s="3" t="b">
        <f>IF($W$59=TRUE,TRUE)</f>
        <v>0</v>
      </c>
      <c r="BE223" s="12" t="b">
        <f>AND(BB223:BC223)</f>
        <v>0</v>
      </c>
      <c r="BG223" s="3" t="b">
        <f>IF(C173="",FALSE,TRUE)</f>
        <v>0</v>
      </c>
      <c r="BI223" s="3" t="b">
        <f>IF($W$59=TRUE,TRUE)</f>
        <v>0</v>
      </c>
      <c r="BJ223" s="12" t="b">
        <f>AND(BG223:BI223)</f>
        <v>0</v>
      </c>
      <c r="BM223" s="3" t="b">
        <f>IF(AT185="",FALSE,TRUE)</f>
        <v>1</v>
      </c>
      <c r="BN223" s="3" t="b">
        <f>IF($W$59=TRUE,TRUE)</f>
        <v>0</v>
      </c>
      <c r="BO223" s="12" t="b">
        <f>AND(BM223:BN223)</f>
        <v>0</v>
      </c>
      <c r="BQ223" s="3" t="b">
        <f>IF(L173="",FALSE,TRUE)</f>
        <v>0</v>
      </c>
      <c r="BR223" s="3" t="b">
        <f>IF($W$59=TRUE,TRUE)</f>
        <v>0</v>
      </c>
      <c r="BS223" s="12" t="b">
        <f>AND(BQ223:BR223)</f>
        <v>0</v>
      </c>
      <c r="BU223" s="157"/>
      <c r="BV223" s="156"/>
      <c r="BW223" s="156"/>
      <c r="BX223" s="156"/>
      <c r="BY223" s="156"/>
      <c r="BZ223" s="156"/>
      <c r="CA223" s="157"/>
      <c r="CB223" s="156"/>
      <c r="CC223" s="156"/>
      <c r="CD223" s="156"/>
      <c r="CE223" s="45"/>
      <c r="CF223" s="44"/>
      <c r="CG223" s="44"/>
      <c r="CH223" s="44"/>
      <c r="CI223" s="44"/>
      <c r="CJ223" s="44"/>
      <c r="CK223" s="44"/>
      <c r="CL223" s="44"/>
      <c r="CM223" s="44"/>
      <c r="CN223" s="44"/>
      <c r="CO223" s="44"/>
      <c r="CP223" s="44"/>
      <c r="CQ223" s="44"/>
      <c r="CR223" s="44"/>
      <c r="CS223" s="44"/>
      <c r="CT223" s="44"/>
      <c r="CU223" s="44"/>
      <c r="CV223" s="44"/>
      <c r="CW223" s="44"/>
      <c r="CX223" s="44"/>
      <c r="CY223" s="44"/>
      <c r="CZ223" s="44"/>
      <c r="DA223" s="44"/>
      <c r="DB223" s="44"/>
      <c r="DC223" s="44"/>
      <c r="DD223" s="44"/>
      <c r="DE223" s="44"/>
      <c r="DF223" s="44"/>
      <c r="DG223" s="44"/>
      <c r="DH223" s="44"/>
      <c r="DI223" s="44"/>
      <c r="DJ223" s="44"/>
      <c r="DK223" s="44"/>
      <c r="DL223" s="44"/>
      <c r="DM223" s="44"/>
      <c r="DN223" s="44"/>
      <c r="DO223" s="44"/>
      <c r="DP223" s="44"/>
      <c r="DQ223" s="44"/>
      <c r="DR223" s="44"/>
      <c r="DS223" s="44"/>
      <c r="DT223" s="44"/>
      <c r="DU223" s="44"/>
      <c r="DV223" s="44"/>
      <c r="DW223" s="44"/>
      <c r="DX223" s="44"/>
      <c r="DY223" s="44"/>
      <c r="DZ223" s="44"/>
      <c r="EA223" s="44"/>
      <c r="EB223" s="44"/>
      <c r="EC223" s="44"/>
      <c r="ED223" s="44"/>
      <c r="EE223" s="44"/>
      <c r="EF223" s="44"/>
      <c r="EG223" s="44"/>
    </row>
    <row r="224" spans="1:137" ht="21" customHeight="1">
      <c r="A224" s="14"/>
      <c r="B224" s="44"/>
      <c r="C224" s="44"/>
      <c r="D224" s="44"/>
      <c r="E224" s="44"/>
      <c r="F224" s="44"/>
      <c r="G224" s="44"/>
      <c r="H224" s="44"/>
      <c r="I224" s="44"/>
      <c r="J224" s="44"/>
      <c r="K224" s="44"/>
      <c r="L224" s="44"/>
      <c r="M224" s="44"/>
      <c r="N224" s="44"/>
      <c r="O224" s="44"/>
      <c r="P224" s="44"/>
      <c r="Q224" s="44"/>
      <c r="R224" s="44"/>
      <c r="S224" s="97"/>
      <c r="AS224" s="8"/>
      <c r="AT224" s="11"/>
      <c r="AU224" s="11"/>
      <c r="AV224" s="11"/>
      <c r="AW224" s="11"/>
      <c r="BU224" s="157" t="str">
        <f>IF(BE225=TRUE,E174,C118)</f>
        <v/>
      </c>
      <c r="BV224" s="156" t="str">
        <f>IF(BJ225=TRUE,C174&amp;" ("&amp;AD182&amp;")",AT85)</f>
        <v/>
      </c>
      <c r="BW224" s="156"/>
      <c r="BX224" s="156"/>
      <c r="BY224" s="156" t="str">
        <f>IF(S62=TRUE,"-",IF($W$59=TRUE,J174&amp;" "&amp;K174,IF(BQ208=TRUE,W119,AU85)))</f>
        <v/>
      </c>
      <c r="BZ224" s="156"/>
      <c r="CA224" s="157" t="str">
        <f>IF(BO225=TRUE,Z182,IF(BQ208=TRUE,"",W119))</f>
        <v/>
      </c>
      <c r="CB224" s="156" t="str">
        <f>IF(BS225=TRUE,L174,IF(BU224="","",IF(O118="","",O118)))</f>
        <v/>
      </c>
      <c r="CC224" s="156"/>
      <c r="CD224" s="156"/>
      <c r="CE224" s="45"/>
      <c r="CF224" s="44"/>
      <c r="CG224" s="44"/>
      <c r="CH224" s="44"/>
      <c r="CI224" s="44"/>
      <c r="CJ224" s="44"/>
      <c r="CK224" s="44"/>
      <c r="CL224" s="44"/>
      <c r="CM224" s="44"/>
      <c r="CN224" s="44"/>
      <c r="CO224" s="44"/>
      <c r="CP224" s="44"/>
      <c r="CQ224" s="44"/>
      <c r="CR224" s="44"/>
      <c r="CS224" s="44"/>
      <c r="CT224" s="44"/>
      <c r="CU224" s="44"/>
      <c r="CV224" s="44"/>
      <c r="CW224" s="44"/>
      <c r="CX224" s="44"/>
      <c r="CY224" s="44"/>
      <c r="CZ224" s="44"/>
      <c r="DA224" s="44"/>
      <c r="DB224" s="44"/>
      <c r="DC224" s="44"/>
      <c r="DD224" s="44"/>
      <c r="DE224" s="44"/>
      <c r="DF224" s="44"/>
      <c r="DG224" s="44"/>
      <c r="DH224" s="44"/>
      <c r="DI224" s="44"/>
      <c r="DJ224" s="44"/>
      <c r="DK224" s="44"/>
      <c r="DL224" s="44"/>
      <c r="DM224" s="44"/>
      <c r="DN224" s="44"/>
      <c r="DO224" s="44"/>
      <c r="DP224" s="44"/>
      <c r="DQ224" s="44"/>
      <c r="DR224" s="44"/>
      <c r="DS224" s="44"/>
      <c r="DT224" s="44"/>
      <c r="DU224" s="44"/>
      <c r="DV224" s="44"/>
      <c r="DW224" s="44"/>
      <c r="DX224" s="44"/>
      <c r="DY224" s="44"/>
      <c r="DZ224" s="44"/>
      <c r="EA224" s="44"/>
      <c r="EB224" s="44"/>
      <c r="EC224" s="44"/>
      <c r="ED224" s="44"/>
      <c r="EE224" s="44"/>
      <c r="EF224" s="44"/>
      <c r="EG224" s="44"/>
    </row>
    <row r="225" spans="1:137" ht="20.25" customHeight="1">
      <c r="A225" s="14"/>
      <c r="B225" s="44"/>
      <c r="C225" s="44"/>
      <c r="D225" s="44"/>
      <c r="E225" s="44"/>
      <c r="F225" s="44"/>
      <c r="G225" s="44"/>
      <c r="H225" s="44"/>
      <c r="I225" s="44"/>
      <c r="J225" s="44"/>
      <c r="K225" s="44"/>
      <c r="L225" s="44"/>
      <c r="M225" s="44"/>
      <c r="N225" s="44"/>
      <c r="O225" s="44"/>
      <c r="P225" s="44"/>
      <c r="Q225" s="44"/>
      <c r="R225" s="44"/>
      <c r="S225" s="97"/>
      <c r="AS225" s="8"/>
      <c r="BB225" s="3" t="b">
        <f>IF(E174="",FALSE,TRUE)</f>
        <v>0</v>
      </c>
      <c r="BC225" s="3" t="b">
        <f>IF($W$59=TRUE,TRUE)</f>
        <v>0</v>
      </c>
      <c r="BE225" s="12" t="b">
        <f>AND(BB225:BC225)</f>
        <v>0</v>
      </c>
      <c r="BG225" s="3" t="b">
        <f>IF(C174="",FALSE,TRUE)</f>
        <v>0</v>
      </c>
      <c r="BI225" s="3" t="b">
        <f>IF($W$59=TRUE,TRUE)</f>
        <v>0</v>
      </c>
      <c r="BJ225" s="12" t="b">
        <f>AND(BG225:BI225)</f>
        <v>0</v>
      </c>
      <c r="BM225" s="3" t="b">
        <f>IF(Z182="",FALSE,TRUE)</f>
        <v>0</v>
      </c>
      <c r="BN225" s="3" t="b">
        <f>IF($W$59=TRUE,TRUE)</f>
        <v>0</v>
      </c>
      <c r="BO225" s="12" t="b">
        <f>AND(BM225:BN225)</f>
        <v>0</v>
      </c>
      <c r="BQ225" s="3" t="b">
        <f>IF(L174="",FALSE,TRUE)</f>
        <v>0</v>
      </c>
      <c r="BR225" s="3" t="b">
        <f>IF($W$59=TRUE,TRUE)</f>
        <v>0</v>
      </c>
      <c r="BS225" s="12" t="b">
        <f>AND(BQ225:BR225)</f>
        <v>0</v>
      </c>
      <c r="BU225" s="157"/>
      <c r="BV225" s="156"/>
      <c r="BW225" s="156"/>
      <c r="BX225" s="156"/>
      <c r="BY225" s="156"/>
      <c r="BZ225" s="156"/>
      <c r="CA225" s="157"/>
      <c r="CB225" s="156"/>
      <c r="CC225" s="156"/>
      <c r="CD225" s="156"/>
      <c r="CE225" s="45"/>
      <c r="CF225" s="44"/>
      <c r="CG225" s="44"/>
      <c r="CH225" s="44"/>
      <c r="CI225" s="44"/>
      <c r="CJ225" s="44"/>
      <c r="CK225" s="44"/>
      <c r="CL225" s="44"/>
      <c r="CM225" s="44"/>
      <c r="CN225" s="44"/>
      <c r="CO225" s="44"/>
      <c r="CP225" s="44"/>
      <c r="CQ225" s="44"/>
      <c r="CR225" s="44"/>
      <c r="CS225" s="44"/>
      <c r="CT225" s="44"/>
      <c r="CU225" s="44"/>
      <c r="CV225" s="44"/>
      <c r="CW225" s="44"/>
      <c r="CX225" s="44"/>
      <c r="CY225" s="44"/>
      <c r="CZ225" s="44"/>
      <c r="DA225" s="44"/>
      <c r="DB225" s="44"/>
      <c r="DC225" s="44"/>
      <c r="DD225" s="44"/>
      <c r="DE225" s="44"/>
      <c r="DF225" s="44"/>
      <c r="DG225" s="44"/>
      <c r="DH225" s="44"/>
      <c r="DI225" s="44"/>
      <c r="DJ225" s="44"/>
      <c r="DK225" s="44"/>
      <c r="DL225" s="44"/>
      <c r="DM225" s="44"/>
      <c r="DN225" s="44"/>
      <c r="DO225" s="44"/>
      <c r="DP225" s="44"/>
      <c r="DQ225" s="44"/>
      <c r="DR225" s="44"/>
      <c r="DS225" s="44"/>
      <c r="DT225" s="44"/>
      <c r="DU225" s="44"/>
      <c r="DV225" s="44"/>
      <c r="DW225" s="44"/>
      <c r="DX225" s="44"/>
      <c r="DY225" s="44"/>
      <c r="DZ225" s="44"/>
      <c r="EA225" s="44"/>
      <c r="EB225" s="44"/>
      <c r="EC225" s="44"/>
      <c r="ED225" s="44"/>
      <c r="EE225" s="44"/>
      <c r="EF225" s="44"/>
      <c r="EG225" s="44"/>
    </row>
    <row r="226" spans="1:137" ht="15" customHeight="1">
      <c r="A226" s="14"/>
      <c r="B226" s="44"/>
      <c r="C226" s="44"/>
      <c r="D226" s="44"/>
      <c r="E226" s="44"/>
      <c r="F226" s="44"/>
      <c r="G226" s="44"/>
      <c r="H226" s="44"/>
      <c r="I226" s="44"/>
      <c r="J226" s="44"/>
      <c r="K226" s="44"/>
      <c r="L226" s="44"/>
      <c r="M226" s="44"/>
      <c r="N226" s="44"/>
      <c r="O226" s="44"/>
      <c r="P226" s="44"/>
      <c r="Q226" s="44"/>
      <c r="R226" s="44"/>
      <c r="S226" s="97"/>
      <c r="BU226" s="157" t="str">
        <f>IF(BE227=TRUE,AP185,C125)</f>
        <v/>
      </c>
      <c r="BV226" s="156" t="str">
        <f>IF(BJ227=TRUE,AQ185,AX85)</f>
        <v/>
      </c>
      <c r="BW226" s="156"/>
      <c r="BX226" s="156"/>
      <c r="BY226" s="156" t="str">
        <f>IF($W$59=TRUE,AS185,IF(BQ208=TRUE,W126,AY85))</f>
        <v/>
      </c>
      <c r="BZ226" s="156"/>
      <c r="CA226" s="157" t="str">
        <f>IF(BO227=TRUE,AT185,IF(BQ208=TRUE,"",W126))</f>
        <v/>
      </c>
      <c r="CB226" s="156" t="str">
        <f>IF(BS227=TRUE,AU185,IF(BU226="","",IF(O125="","",O125)))</f>
        <v/>
      </c>
      <c r="CC226" s="156"/>
      <c r="CD226" s="156"/>
      <c r="CE226" s="45"/>
      <c r="CF226" s="44"/>
      <c r="CG226" s="44"/>
      <c r="CH226" s="44"/>
      <c r="CI226" s="44"/>
      <c r="CJ226" s="44"/>
      <c r="CK226" s="44"/>
      <c r="CL226" s="44"/>
      <c r="CM226" s="44"/>
      <c r="CN226" s="44"/>
      <c r="CO226" s="44"/>
      <c r="CP226" s="44"/>
      <c r="CQ226" s="44"/>
      <c r="CR226" s="44"/>
      <c r="CS226" s="44"/>
      <c r="CT226" s="44"/>
      <c r="CU226" s="44"/>
      <c r="CV226" s="44"/>
      <c r="CW226" s="44"/>
      <c r="CX226" s="44"/>
      <c r="CY226" s="44"/>
      <c r="CZ226" s="44"/>
      <c r="DA226" s="44"/>
      <c r="DB226" s="44"/>
      <c r="DC226" s="44"/>
      <c r="DD226" s="44"/>
      <c r="DE226" s="44"/>
      <c r="DF226" s="44"/>
      <c r="DG226" s="44"/>
      <c r="DH226" s="44"/>
      <c r="DI226" s="44"/>
      <c r="DJ226" s="44"/>
      <c r="DK226" s="44"/>
      <c r="DL226" s="44"/>
      <c r="DM226" s="44"/>
      <c r="DN226" s="44"/>
      <c r="DO226" s="44"/>
      <c r="DP226" s="44"/>
      <c r="DQ226" s="44"/>
      <c r="DR226" s="44"/>
      <c r="DS226" s="44"/>
      <c r="DT226" s="44"/>
      <c r="DU226" s="44"/>
      <c r="DV226" s="44"/>
      <c r="DW226" s="44"/>
      <c r="DX226" s="44"/>
      <c r="DY226" s="44"/>
      <c r="DZ226" s="44"/>
      <c r="EA226" s="44"/>
      <c r="EB226" s="44"/>
      <c r="EC226" s="44"/>
      <c r="ED226" s="44"/>
      <c r="EE226" s="44"/>
      <c r="EF226" s="44"/>
      <c r="EG226" s="44"/>
    </row>
    <row r="227" spans="1:137" ht="16.5" customHeight="1">
      <c r="A227" s="14"/>
      <c r="B227" s="44"/>
      <c r="C227" s="44"/>
      <c r="D227" s="44"/>
      <c r="E227" s="44"/>
      <c r="F227" s="44"/>
      <c r="G227" s="44"/>
      <c r="H227" s="44"/>
      <c r="I227" s="44"/>
      <c r="J227" s="44"/>
      <c r="K227" s="44"/>
      <c r="L227" s="44"/>
      <c r="M227" s="44"/>
      <c r="N227" s="44"/>
      <c r="O227" s="44"/>
      <c r="P227" s="44"/>
      <c r="Q227" s="44"/>
      <c r="R227" s="44"/>
      <c r="S227" s="97"/>
      <c r="AQ227" s="8"/>
      <c r="AR227" s="8"/>
      <c r="BB227" s="3" t="b">
        <f>IF(E175="",FALSE,TRUE)</f>
        <v>0</v>
      </c>
      <c r="BC227" s="3" t="b">
        <f>IF($W$59=TRUE,TRUE)</f>
        <v>0</v>
      </c>
      <c r="BE227" s="12" t="b">
        <f>AND(BB227:BC227)</f>
        <v>0</v>
      </c>
      <c r="BG227" s="3" t="b">
        <f>IF(C175="",FALSE,TRUE)</f>
        <v>0</v>
      </c>
      <c r="BI227" s="3" t="b">
        <f>IF($W$59=TRUE,TRUE)</f>
        <v>0</v>
      </c>
      <c r="BJ227" s="12" t="b">
        <f>AND(BG227:BI227)</f>
        <v>0</v>
      </c>
      <c r="BM227" s="3" t="b">
        <f>IF(Z183="",FALSE,TRUE)</f>
        <v>0</v>
      </c>
      <c r="BN227" s="3" t="b">
        <f>IF($W$59=TRUE,TRUE)</f>
        <v>0</v>
      </c>
      <c r="BO227" s="12" t="b">
        <f>AND(BM227:BN227)</f>
        <v>0</v>
      </c>
      <c r="BQ227" s="3" t="b">
        <f>IF(L175="",FALSE,TRUE)</f>
        <v>0</v>
      </c>
      <c r="BR227" s="3" t="b">
        <f>IF($W$59=TRUE,TRUE)</f>
        <v>0</v>
      </c>
      <c r="BS227" s="12" t="b">
        <f>AND(BQ227:BR227)</f>
        <v>0</v>
      </c>
      <c r="BU227" s="157"/>
      <c r="BV227" s="156"/>
      <c r="BW227" s="156"/>
      <c r="BX227" s="156"/>
      <c r="BY227" s="156"/>
      <c r="BZ227" s="156"/>
      <c r="CA227" s="157"/>
      <c r="CB227" s="156"/>
      <c r="CC227" s="156"/>
      <c r="CD227" s="156"/>
      <c r="CE227" s="45"/>
      <c r="CF227" s="44"/>
      <c r="CG227" s="44"/>
      <c r="CH227" s="44"/>
      <c r="CI227" s="44"/>
      <c r="CJ227" s="44"/>
      <c r="CK227" s="44"/>
      <c r="CL227" s="44"/>
      <c r="CM227" s="44"/>
      <c r="CN227" s="44"/>
      <c r="CO227" s="44"/>
      <c r="CP227" s="44"/>
      <c r="CQ227" s="44"/>
      <c r="CR227" s="44"/>
      <c r="CS227" s="44"/>
      <c r="CT227" s="44"/>
      <c r="CU227" s="44"/>
      <c r="CV227" s="44"/>
      <c r="CW227" s="44"/>
      <c r="CX227" s="44"/>
      <c r="CY227" s="44"/>
      <c r="CZ227" s="44"/>
      <c r="DA227" s="44"/>
      <c r="DB227" s="44"/>
      <c r="DC227" s="44"/>
      <c r="DD227" s="44"/>
      <c r="DE227" s="44"/>
      <c r="DF227" s="44"/>
      <c r="DG227" s="44"/>
      <c r="DH227" s="44"/>
      <c r="DI227" s="44"/>
      <c r="DJ227" s="44"/>
      <c r="DK227" s="44"/>
      <c r="DL227" s="44"/>
      <c r="DM227" s="44"/>
      <c r="DN227" s="44"/>
      <c r="DO227" s="44"/>
      <c r="DP227" s="44"/>
      <c r="DQ227" s="44"/>
      <c r="DR227" s="44"/>
      <c r="DS227" s="44"/>
      <c r="DT227" s="44"/>
      <c r="DU227" s="44"/>
      <c r="DV227" s="44"/>
      <c r="DW227" s="44"/>
      <c r="DX227" s="44"/>
      <c r="DY227" s="44"/>
      <c r="DZ227" s="44"/>
      <c r="EA227" s="44"/>
      <c r="EB227" s="44"/>
      <c r="EC227" s="44"/>
      <c r="ED227" s="44"/>
      <c r="EE227" s="44"/>
      <c r="EF227" s="44"/>
      <c r="EG227" s="44"/>
    </row>
    <row r="228" spans="1:137" ht="7.5" customHeight="1">
      <c r="A228" s="14"/>
      <c r="B228" s="44"/>
      <c r="C228" s="44"/>
      <c r="D228" s="44"/>
      <c r="E228" s="44"/>
      <c r="F228" s="44"/>
      <c r="G228" s="44"/>
      <c r="H228" s="44"/>
      <c r="I228" s="44"/>
      <c r="J228" s="44"/>
      <c r="K228" s="44"/>
      <c r="L228" s="44"/>
      <c r="M228" s="44"/>
      <c r="N228" s="44"/>
      <c r="O228" s="44"/>
      <c r="P228" s="44"/>
      <c r="Q228" s="44"/>
      <c r="R228" s="44"/>
      <c r="S228" s="97"/>
      <c r="AQ228" s="8"/>
      <c r="AR228" s="8"/>
      <c r="AS228" s="8"/>
      <c r="AT228" s="11"/>
      <c r="AU228" s="11"/>
      <c r="AV228" s="11"/>
      <c r="AW228" s="11"/>
      <c r="BU228" s="157"/>
      <c r="BV228" s="156"/>
      <c r="BW228" s="156"/>
      <c r="BX228" s="156"/>
      <c r="BY228" s="156"/>
      <c r="BZ228" s="156"/>
      <c r="CA228" s="157"/>
      <c r="CB228" s="156"/>
      <c r="CC228" s="156"/>
      <c r="CD228" s="156"/>
      <c r="CE228" s="45"/>
      <c r="CF228" s="44"/>
      <c r="CG228" s="44"/>
      <c r="CH228" s="44"/>
      <c r="CI228" s="44"/>
      <c r="CJ228" s="44"/>
      <c r="CK228" s="44"/>
      <c r="CL228" s="44"/>
      <c r="CM228" s="44"/>
      <c r="CN228" s="44"/>
      <c r="CO228" s="44"/>
      <c r="CP228" s="44"/>
      <c r="CQ228" s="44"/>
      <c r="CR228" s="44"/>
      <c r="CS228" s="44"/>
      <c r="CT228" s="44"/>
      <c r="CU228" s="44"/>
      <c r="CV228" s="44"/>
      <c r="CW228" s="44"/>
      <c r="CX228" s="44"/>
      <c r="CY228" s="44"/>
      <c r="CZ228" s="44"/>
      <c r="DA228" s="44"/>
      <c r="DB228" s="44"/>
      <c r="DC228" s="44"/>
      <c r="DD228" s="44"/>
      <c r="DE228" s="44"/>
      <c r="DF228" s="44"/>
      <c r="DG228" s="44"/>
      <c r="DH228" s="44"/>
      <c r="DI228" s="44"/>
      <c r="DJ228" s="44"/>
      <c r="DK228" s="44"/>
      <c r="DL228" s="44"/>
      <c r="DM228" s="44"/>
      <c r="DN228" s="44"/>
      <c r="DO228" s="44"/>
      <c r="DP228" s="44"/>
      <c r="DQ228" s="44"/>
      <c r="DR228" s="44"/>
      <c r="DS228" s="44"/>
      <c r="DT228" s="44"/>
      <c r="DU228" s="44"/>
      <c r="DV228" s="44"/>
      <c r="DW228" s="44"/>
      <c r="DX228" s="44"/>
      <c r="DY228" s="44"/>
      <c r="DZ228" s="44"/>
      <c r="EA228" s="44"/>
      <c r="EB228" s="44"/>
      <c r="EC228" s="44"/>
      <c r="ED228" s="44"/>
      <c r="EE228" s="44"/>
      <c r="EF228" s="44"/>
      <c r="EG228" s="44"/>
    </row>
    <row r="229" spans="1:137">
      <c r="A229" s="14"/>
      <c r="B229" s="44"/>
      <c r="C229" s="44"/>
      <c r="D229" s="44"/>
      <c r="E229" s="44"/>
      <c r="F229" s="44"/>
      <c r="G229" s="44"/>
      <c r="H229" s="44"/>
      <c r="I229" s="44"/>
      <c r="J229" s="44"/>
      <c r="K229" s="44"/>
      <c r="L229" s="44"/>
      <c r="M229" s="44"/>
      <c r="N229" s="44"/>
      <c r="O229" s="44"/>
      <c r="P229" s="44"/>
      <c r="Q229" s="44"/>
      <c r="R229" s="44"/>
      <c r="S229" s="97"/>
      <c r="AS229" s="8"/>
      <c r="AT229" s="11"/>
      <c r="AU229" s="11"/>
      <c r="AV229" s="11"/>
      <c r="AW229" s="11"/>
      <c r="BU229" s="157" t="str">
        <f>IF(BE230=TRUE,E177,C132)</f>
        <v/>
      </c>
      <c r="BV229" s="156" t="str">
        <f>IF(BJ230=TRUE,C177&amp;" ("&amp;AD185&amp;")",BB85)</f>
        <v/>
      </c>
      <c r="BW229" s="156"/>
      <c r="BX229" s="156"/>
      <c r="BY229" s="156" t="str">
        <f>IF(AC185=FALSE,"",IF($W$59=TRUE,J177&amp;" "&amp;K177,IF(BQ208=TRUE,W133,BC85)))</f>
        <v/>
      </c>
      <c r="BZ229" s="156"/>
      <c r="CA229" s="157" t="str">
        <f>IF(BO230=TRUE,Z185,IF(BQ208=TRUE,"",W133))</f>
        <v/>
      </c>
      <c r="CB229" s="156" t="str">
        <f>IF(BS230=TRUE,L177,IF(BU229="","",IF(O132="","",O132)))</f>
        <v/>
      </c>
      <c r="CC229" s="156"/>
      <c r="CD229" s="156"/>
      <c r="CE229" s="45"/>
      <c r="CF229" s="44"/>
      <c r="CG229" s="44"/>
      <c r="CH229" s="44"/>
      <c r="CI229" s="44"/>
      <c r="CJ229" s="44"/>
      <c r="CK229" s="44"/>
      <c r="CL229" s="44"/>
      <c r="CM229" s="44"/>
      <c r="CN229" s="44"/>
      <c r="CO229" s="44"/>
      <c r="CP229" s="44"/>
      <c r="CQ229" s="44"/>
      <c r="CR229" s="44"/>
      <c r="CS229" s="44"/>
      <c r="CT229" s="44"/>
      <c r="CU229" s="44"/>
      <c r="CV229" s="44"/>
      <c r="CW229" s="44"/>
      <c r="CX229" s="44"/>
      <c r="CY229" s="44"/>
      <c r="CZ229" s="44"/>
      <c r="DA229" s="44"/>
      <c r="DB229" s="44"/>
      <c r="DC229" s="44"/>
      <c r="DD229" s="44"/>
      <c r="DE229" s="44"/>
      <c r="DF229" s="44"/>
      <c r="DG229" s="44"/>
      <c r="DH229" s="44"/>
      <c r="DI229" s="44"/>
      <c r="DJ229" s="44"/>
      <c r="DK229" s="44"/>
      <c r="DL229" s="44"/>
      <c r="DM229" s="44"/>
      <c r="DN229" s="44"/>
      <c r="DO229" s="44"/>
      <c r="DP229" s="44"/>
      <c r="DQ229" s="44"/>
      <c r="DR229" s="44"/>
      <c r="DS229" s="44"/>
      <c r="DT229" s="44"/>
      <c r="DU229" s="44"/>
      <c r="DV229" s="44"/>
      <c r="DW229" s="44"/>
      <c r="DX229" s="44"/>
      <c r="DY229" s="44"/>
      <c r="DZ229" s="44"/>
      <c r="EA229" s="44"/>
      <c r="EB229" s="44"/>
      <c r="EC229" s="44"/>
      <c r="ED229" s="44"/>
      <c r="EE229" s="44"/>
      <c r="EF229" s="44"/>
      <c r="EG229" s="44"/>
    </row>
    <row r="230" spans="1:137" ht="33.75" customHeight="1">
      <c r="A230" s="14"/>
      <c r="B230" s="44"/>
      <c r="C230" s="44"/>
      <c r="D230" s="44"/>
      <c r="E230" s="44"/>
      <c r="F230" s="44"/>
      <c r="G230" s="44"/>
      <c r="H230" s="44"/>
      <c r="I230" s="44"/>
      <c r="J230" s="44"/>
      <c r="K230" s="44"/>
      <c r="L230" s="44"/>
      <c r="M230" s="44"/>
      <c r="N230" s="44"/>
      <c r="O230" s="44"/>
      <c r="P230" s="44"/>
      <c r="Q230" s="44"/>
      <c r="R230" s="44"/>
      <c r="S230" s="97"/>
      <c r="AS230" s="8"/>
      <c r="AT230" s="11"/>
      <c r="AU230" s="11"/>
      <c r="AV230" s="11"/>
      <c r="AW230" s="11"/>
      <c r="BB230" s="3" t="b">
        <f>IF(E177="",FALSE,TRUE)</f>
        <v>0</v>
      </c>
      <c r="BC230" s="3" t="b">
        <f>IF($W$59=TRUE,TRUE)</f>
        <v>0</v>
      </c>
      <c r="BE230" s="12" t="b">
        <f>AND(BB230:BC230)</f>
        <v>0</v>
      </c>
      <c r="BG230" s="3" t="b">
        <f>IF(C177="",FALSE,TRUE)</f>
        <v>0</v>
      </c>
      <c r="BI230" s="3" t="b">
        <f>IF($W$59=TRUE,TRUE)</f>
        <v>0</v>
      </c>
      <c r="BJ230" s="12" t="b">
        <f>AND(BG230:BI230)</f>
        <v>0</v>
      </c>
      <c r="BM230" s="3" t="b">
        <f>IF(Z185="",FALSE,TRUE)</f>
        <v>0</v>
      </c>
      <c r="BN230" s="3" t="b">
        <f>IF($W$59=TRUE,TRUE)</f>
        <v>0</v>
      </c>
      <c r="BO230" s="12" t="b">
        <f>AND(BM230:BN230)</f>
        <v>0</v>
      </c>
      <c r="BQ230" s="3" t="b">
        <f>IF(L177="",FALSE,TRUE)</f>
        <v>0</v>
      </c>
      <c r="BR230" s="3" t="b">
        <f>IF($W$59=TRUE,TRUE)</f>
        <v>0</v>
      </c>
      <c r="BS230" s="12" t="b">
        <f>AND(BQ230:BR230)</f>
        <v>0</v>
      </c>
      <c r="BU230" s="157"/>
      <c r="BV230" s="156"/>
      <c r="BW230" s="156"/>
      <c r="BX230" s="156"/>
      <c r="BY230" s="156"/>
      <c r="BZ230" s="156"/>
      <c r="CA230" s="157"/>
      <c r="CB230" s="156"/>
      <c r="CC230" s="156"/>
      <c r="CD230" s="156"/>
      <c r="CE230" s="45"/>
      <c r="CF230" s="44"/>
      <c r="CG230" s="44"/>
      <c r="CH230" s="44"/>
      <c r="CI230" s="44"/>
      <c r="CJ230" s="44"/>
      <c r="CK230" s="44"/>
      <c r="CL230" s="44"/>
      <c r="CM230" s="44"/>
      <c r="CN230" s="44"/>
      <c r="CO230" s="44"/>
      <c r="CP230" s="44"/>
      <c r="CQ230" s="44"/>
      <c r="CR230" s="44"/>
      <c r="CS230" s="44"/>
      <c r="CT230" s="44"/>
      <c r="CU230" s="44"/>
      <c r="CV230" s="44"/>
      <c r="CW230" s="44"/>
      <c r="CX230" s="44"/>
      <c r="CY230" s="44"/>
      <c r="CZ230" s="44"/>
      <c r="DA230" s="44"/>
      <c r="DB230" s="44"/>
      <c r="DC230" s="44"/>
      <c r="DD230" s="44"/>
      <c r="DE230" s="44"/>
      <c r="DF230" s="44"/>
      <c r="DG230" s="44"/>
      <c r="DH230" s="44"/>
      <c r="DI230" s="44"/>
      <c r="DJ230" s="44"/>
      <c r="DK230" s="44"/>
      <c r="DL230" s="44"/>
      <c r="DM230" s="44"/>
      <c r="DN230" s="44"/>
      <c r="DO230" s="44"/>
      <c r="DP230" s="44"/>
      <c r="DQ230" s="44"/>
      <c r="DR230" s="44"/>
      <c r="DS230" s="44"/>
      <c r="DT230" s="44"/>
      <c r="DU230" s="44"/>
      <c r="DV230" s="44"/>
      <c r="DW230" s="44"/>
      <c r="DX230" s="44"/>
      <c r="DY230" s="44"/>
      <c r="DZ230" s="44"/>
      <c r="EA230" s="44"/>
      <c r="EB230" s="44"/>
      <c r="EC230" s="44"/>
      <c r="ED230" s="44"/>
      <c r="EE230" s="44"/>
      <c r="EF230" s="44"/>
      <c r="EG230" s="44"/>
    </row>
    <row r="231" spans="1:137" ht="23.25" customHeight="1">
      <c r="A231" s="14"/>
      <c r="B231" s="44"/>
      <c r="C231" s="44"/>
      <c r="D231" s="44"/>
      <c r="E231" s="44"/>
      <c r="F231" s="44"/>
      <c r="G231" s="44"/>
      <c r="H231" s="44"/>
      <c r="I231" s="44"/>
      <c r="J231" s="44"/>
      <c r="K231" s="44"/>
      <c r="L231" s="44"/>
      <c r="M231" s="44"/>
      <c r="N231" s="44"/>
      <c r="O231" s="44"/>
      <c r="P231" s="44"/>
      <c r="Q231" s="44"/>
      <c r="R231" s="44"/>
      <c r="S231" s="97"/>
      <c r="AT231" s="11"/>
      <c r="AU231" s="11"/>
      <c r="AV231" s="11"/>
      <c r="AW231" s="11"/>
      <c r="BU231" s="157" t="str">
        <f>IF(BE232=TRUE,E178,C139)</f>
        <v/>
      </c>
      <c r="BV231" s="156" t="str">
        <f>IF(BJ232=TRUE,C178&amp;" ("&amp;AD186&amp;")",BF85)</f>
        <v/>
      </c>
      <c r="BW231" s="156"/>
      <c r="BX231" s="156"/>
      <c r="BY231" s="156" t="str">
        <f>IF(AC186=FALSE,"",IF($W$59=TRUE,J178&amp;" "&amp;K178,IF(BQ208=TRUE,W142,BG85)))</f>
        <v/>
      </c>
      <c r="BZ231" s="156"/>
      <c r="CA231" s="157" t="str">
        <f>IF(BO232=TRUE,Z186,IF(BQ208=TRUE,"",W142))</f>
        <v/>
      </c>
      <c r="CB231" s="156" t="str">
        <f>IF(BS232=TRUE,L178,IF(BU231="","",IF(O139="","",O139)))</f>
        <v/>
      </c>
      <c r="CC231" s="156"/>
      <c r="CD231" s="156"/>
      <c r="CE231" s="45"/>
      <c r="CF231" s="44"/>
      <c r="CG231" s="44"/>
      <c r="CH231" s="44"/>
      <c r="CI231" s="44"/>
      <c r="CJ231" s="44"/>
      <c r="CK231" s="44"/>
      <c r="CL231" s="44"/>
      <c r="CM231" s="44"/>
      <c r="CN231" s="44"/>
      <c r="CO231" s="44"/>
      <c r="CP231" s="44"/>
      <c r="CQ231" s="44"/>
      <c r="CR231" s="44"/>
      <c r="CS231" s="44"/>
      <c r="CT231" s="44"/>
      <c r="CU231" s="44"/>
      <c r="CV231" s="44"/>
      <c r="CW231" s="44"/>
      <c r="CX231" s="44"/>
      <c r="CY231" s="44"/>
      <c r="CZ231" s="44"/>
      <c r="DA231" s="44"/>
      <c r="DB231" s="44"/>
      <c r="DC231" s="44"/>
      <c r="DD231" s="44"/>
      <c r="DE231" s="44"/>
      <c r="DF231" s="44"/>
      <c r="DG231" s="44"/>
      <c r="DH231" s="44"/>
      <c r="DI231" s="44"/>
      <c r="DJ231" s="44"/>
      <c r="DK231" s="44"/>
      <c r="DL231" s="44"/>
      <c r="DM231" s="44"/>
      <c r="DN231" s="44"/>
      <c r="DO231" s="44"/>
      <c r="DP231" s="44"/>
      <c r="DQ231" s="44"/>
      <c r="DR231" s="44"/>
      <c r="DS231" s="44"/>
      <c r="DT231" s="44"/>
      <c r="DU231" s="44"/>
      <c r="DV231" s="44"/>
      <c r="DW231" s="44"/>
      <c r="DX231" s="44"/>
      <c r="DY231" s="44"/>
      <c r="DZ231" s="44"/>
      <c r="EA231" s="44"/>
      <c r="EB231" s="44"/>
      <c r="EC231" s="44"/>
      <c r="ED231" s="44"/>
      <c r="EE231" s="44"/>
      <c r="EF231" s="44"/>
      <c r="EG231" s="44"/>
    </row>
    <row r="232" spans="1:137" ht="18.75" customHeight="1">
      <c r="A232" s="14"/>
      <c r="B232" s="44"/>
      <c r="C232" s="44"/>
      <c r="D232" s="44"/>
      <c r="E232" s="44"/>
      <c r="F232" s="44"/>
      <c r="G232" s="44"/>
      <c r="H232" s="44"/>
      <c r="I232" s="44"/>
      <c r="J232" s="44"/>
      <c r="K232" s="44"/>
      <c r="L232" s="44"/>
      <c r="M232" s="44"/>
      <c r="N232" s="44"/>
      <c r="O232" s="44"/>
      <c r="P232" s="44"/>
      <c r="Q232" s="44"/>
      <c r="R232" s="44"/>
      <c r="S232" s="97"/>
      <c r="AT232" s="11"/>
      <c r="AW232" s="11"/>
      <c r="BB232" s="3" t="b">
        <f>IF(E178="",FALSE,TRUE)</f>
        <v>0</v>
      </c>
      <c r="BC232" s="3" t="b">
        <f>IF($W$59=TRUE,TRUE)</f>
        <v>0</v>
      </c>
      <c r="BE232" s="12" t="b">
        <f>AND(BB232:BC232)</f>
        <v>0</v>
      </c>
      <c r="BG232" s="3" t="b">
        <f>IF(C178="",FALSE,TRUE)</f>
        <v>0</v>
      </c>
      <c r="BI232" s="3" t="b">
        <f>IF($W$59=TRUE,TRUE)</f>
        <v>0</v>
      </c>
      <c r="BJ232" s="12" t="b">
        <f>AND(BG232:BI232)</f>
        <v>0</v>
      </c>
      <c r="BM232" s="3" t="b">
        <f>IF(Z186="",FALSE,TRUE)</f>
        <v>0</v>
      </c>
      <c r="BN232" s="3" t="b">
        <f>IF($W$59=TRUE,TRUE)</f>
        <v>0</v>
      </c>
      <c r="BO232" s="12" t="b">
        <f>AND(BM232:BN232)</f>
        <v>0</v>
      </c>
      <c r="BQ232" s="3" t="b">
        <f>IF(L178="",FALSE,TRUE)</f>
        <v>0</v>
      </c>
      <c r="BR232" s="3" t="b">
        <f>IF($W$59=TRUE,TRUE)</f>
        <v>0</v>
      </c>
      <c r="BS232" s="12" t="b">
        <f>AND(BQ232:BR232)</f>
        <v>0</v>
      </c>
      <c r="BU232" s="157"/>
      <c r="BV232" s="156"/>
      <c r="BW232" s="156"/>
      <c r="BX232" s="156"/>
      <c r="BY232" s="156"/>
      <c r="BZ232" s="156"/>
      <c r="CA232" s="157"/>
      <c r="CB232" s="156"/>
      <c r="CC232" s="156"/>
      <c r="CD232" s="156"/>
      <c r="CE232" s="45"/>
      <c r="CF232" s="44"/>
      <c r="CG232" s="44"/>
      <c r="CH232" s="44"/>
      <c r="CI232" s="44"/>
      <c r="CJ232" s="44"/>
      <c r="CK232" s="44"/>
      <c r="CL232" s="44"/>
      <c r="CM232" s="44"/>
      <c r="CN232" s="44"/>
      <c r="CO232" s="44"/>
      <c r="CP232" s="44"/>
      <c r="CQ232" s="44"/>
      <c r="CR232" s="44"/>
      <c r="CS232" s="44"/>
      <c r="CT232" s="44"/>
      <c r="CU232" s="44"/>
      <c r="CV232" s="44"/>
      <c r="CW232" s="44"/>
      <c r="CX232" s="44"/>
      <c r="CY232" s="44"/>
      <c r="CZ232" s="44"/>
      <c r="DA232" s="44"/>
      <c r="DB232" s="44"/>
      <c r="DC232" s="44"/>
      <c r="DD232" s="44"/>
      <c r="DE232" s="44"/>
      <c r="DF232" s="44"/>
      <c r="DG232" s="44"/>
      <c r="DH232" s="44"/>
      <c r="DI232" s="44"/>
      <c r="DJ232" s="44"/>
      <c r="DK232" s="44"/>
      <c r="DL232" s="44"/>
      <c r="DM232" s="44"/>
      <c r="DN232" s="44"/>
      <c r="DO232" s="44"/>
      <c r="DP232" s="44"/>
      <c r="DQ232" s="44"/>
      <c r="DR232" s="44"/>
      <c r="DS232" s="44"/>
      <c r="DT232" s="44"/>
      <c r="DU232" s="44"/>
      <c r="DV232" s="44"/>
      <c r="DW232" s="44"/>
      <c r="DX232" s="44"/>
      <c r="DY232" s="44"/>
      <c r="DZ232" s="44"/>
      <c r="EA232" s="44"/>
      <c r="EB232" s="44"/>
      <c r="EC232" s="44"/>
      <c r="ED232" s="44"/>
      <c r="EE232" s="44"/>
      <c r="EF232" s="44"/>
      <c r="EG232" s="44"/>
    </row>
    <row r="233" spans="1:137" ht="12.75" customHeight="1">
      <c r="A233" s="14"/>
      <c r="B233" s="44"/>
      <c r="C233" s="44"/>
      <c r="D233" s="44"/>
      <c r="E233" s="44"/>
      <c r="F233" s="44"/>
      <c r="G233" s="44"/>
      <c r="H233" s="44"/>
      <c r="I233" s="44"/>
      <c r="J233" s="44"/>
      <c r="K233" s="44"/>
      <c r="L233" s="44"/>
      <c r="M233" s="44"/>
      <c r="N233" s="44"/>
      <c r="O233" s="44"/>
      <c r="P233" s="44"/>
      <c r="Q233" s="44"/>
      <c r="R233" s="44"/>
      <c r="S233" s="97"/>
      <c r="AT233" s="11"/>
      <c r="BU233" s="157" t="str">
        <f>IF(BE234=TRUE,E179,C146)</f>
        <v/>
      </c>
      <c r="BV233" s="156" t="str">
        <f>IF(BJ234=TRUE,C179&amp;" ("&amp;AD187&amp;")",BJ85)</f>
        <v/>
      </c>
      <c r="BW233" s="156"/>
      <c r="BX233" s="156"/>
      <c r="BY233" s="156" t="str">
        <f>IF(AC187=FALSE,"",IF($W$59=TRUE,J179&amp;" "&amp;K179,IF(BQ208=TRUE,W150,BK85)))</f>
        <v/>
      </c>
      <c r="BZ233" s="156"/>
      <c r="CA233" s="157" t="str">
        <f>IF(BO234=TRUE,Z187,IF(BQ208=TRUE,"",W150))</f>
        <v/>
      </c>
      <c r="CB233" s="156" t="str">
        <f>IF(BS234=TRUE,L179,IF(BU233="","",IF(O146="","",O146)))</f>
        <v/>
      </c>
      <c r="CC233" s="156"/>
      <c r="CD233" s="156"/>
      <c r="CE233" s="45"/>
      <c r="CF233" s="44"/>
      <c r="CG233" s="44"/>
      <c r="CH233" s="44"/>
      <c r="CI233" s="44"/>
      <c r="CJ233" s="44"/>
      <c r="CK233" s="44"/>
      <c r="CL233" s="44"/>
      <c r="CM233" s="44"/>
      <c r="CN233" s="44"/>
      <c r="CO233" s="44"/>
      <c r="CP233" s="44"/>
      <c r="CQ233" s="44"/>
      <c r="CR233" s="44"/>
      <c r="CS233" s="44"/>
      <c r="CT233" s="44"/>
      <c r="CU233" s="44"/>
      <c r="CV233" s="44"/>
      <c r="CW233" s="44"/>
      <c r="CX233" s="44"/>
      <c r="CY233" s="44"/>
      <c r="CZ233" s="44"/>
      <c r="DA233" s="44"/>
      <c r="DB233" s="44"/>
      <c r="DC233" s="44"/>
      <c r="DD233" s="44"/>
      <c r="DE233" s="44"/>
      <c r="DF233" s="44"/>
      <c r="DG233" s="44"/>
      <c r="DH233" s="44"/>
      <c r="DI233" s="44"/>
      <c r="DJ233" s="44"/>
      <c r="DK233" s="44"/>
      <c r="DL233" s="44"/>
      <c r="DM233" s="44"/>
      <c r="DN233" s="44"/>
      <c r="DO233" s="44"/>
      <c r="DP233" s="44"/>
      <c r="DQ233" s="44"/>
      <c r="DR233" s="44"/>
      <c r="DS233" s="44"/>
      <c r="DT233" s="44"/>
      <c r="DU233" s="44"/>
      <c r="DV233" s="44"/>
      <c r="DW233" s="44"/>
      <c r="DX233" s="44"/>
      <c r="DY233" s="44"/>
      <c r="DZ233" s="44"/>
      <c r="EA233" s="44"/>
      <c r="EB233" s="44"/>
      <c r="EC233" s="44"/>
      <c r="ED233" s="44"/>
      <c r="EE233" s="44"/>
      <c r="EF233" s="44"/>
      <c r="EG233" s="44"/>
    </row>
    <row r="234" spans="1:137" ht="28.5" customHeight="1">
      <c r="A234" s="14"/>
      <c r="B234" s="44"/>
      <c r="C234" s="44"/>
      <c r="D234" s="44"/>
      <c r="E234" s="44"/>
      <c r="F234" s="44"/>
      <c r="G234" s="44"/>
      <c r="H234" s="44"/>
      <c r="I234" s="44"/>
      <c r="J234" s="44"/>
      <c r="K234" s="44"/>
      <c r="L234" s="44"/>
      <c r="M234" s="44"/>
      <c r="N234" s="44"/>
      <c r="O234" s="44"/>
      <c r="P234" s="44"/>
      <c r="Q234" s="44"/>
      <c r="R234" s="44"/>
      <c r="S234" s="97"/>
      <c r="BB234" s="3" t="b">
        <f>IF(E179="",FALSE,TRUE)</f>
        <v>0</v>
      </c>
      <c r="BC234" s="3" t="b">
        <f>IF($W$59=TRUE,TRUE)</f>
        <v>0</v>
      </c>
      <c r="BE234" s="12" t="b">
        <f>AND(BB234:BC234)</f>
        <v>0</v>
      </c>
      <c r="BG234" s="3" t="b">
        <f>IF(C179="",FALSE,TRUE)</f>
        <v>0</v>
      </c>
      <c r="BI234" s="3" t="b">
        <f>IF($W$59=TRUE,TRUE)</f>
        <v>0</v>
      </c>
      <c r="BJ234" s="12" t="b">
        <f>AND(BG234:BI234)</f>
        <v>0</v>
      </c>
      <c r="BM234" s="3" t="b">
        <f>IF(Z187="",FALSE,TRUE)</f>
        <v>0</v>
      </c>
      <c r="BN234" s="3" t="b">
        <f>IF($W$59=TRUE,TRUE)</f>
        <v>0</v>
      </c>
      <c r="BO234" s="12" t="b">
        <f>AND(BM234:BN234)</f>
        <v>0</v>
      </c>
      <c r="BQ234" s="3" t="b">
        <f>IF(L179="",FALSE,TRUE)</f>
        <v>0</v>
      </c>
      <c r="BR234" s="3" t="b">
        <f>IF($W$59=TRUE,TRUE)</f>
        <v>0</v>
      </c>
      <c r="BS234" s="12" t="b">
        <f>AND(BQ234:BR234)</f>
        <v>0</v>
      </c>
      <c r="BU234" s="189"/>
      <c r="BV234" s="188"/>
      <c r="BW234" s="188"/>
      <c r="BX234" s="188"/>
      <c r="BY234" s="188"/>
      <c r="BZ234" s="188"/>
      <c r="CA234" s="189"/>
      <c r="CB234" s="188"/>
      <c r="CC234" s="188"/>
      <c r="CD234" s="188"/>
      <c r="CE234" s="45"/>
      <c r="CF234" s="44"/>
      <c r="CG234" s="44"/>
      <c r="CH234" s="44"/>
      <c r="CI234" s="44"/>
      <c r="CJ234" s="44"/>
      <c r="CK234" s="44"/>
      <c r="CL234" s="44"/>
      <c r="CM234" s="44"/>
      <c r="CN234" s="44"/>
      <c r="CO234" s="44"/>
      <c r="CP234" s="44"/>
      <c r="CQ234" s="44"/>
      <c r="CR234" s="44"/>
      <c r="CS234" s="44"/>
      <c r="CT234" s="44"/>
      <c r="CU234" s="44"/>
      <c r="CV234" s="44"/>
      <c r="CW234" s="44"/>
      <c r="CX234" s="44"/>
      <c r="CY234" s="44"/>
      <c r="CZ234" s="44"/>
      <c r="DA234" s="44"/>
      <c r="DB234" s="44"/>
      <c r="DC234" s="44"/>
      <c r="DD234" s="44"/>
      <c r="DE234" s="44"/>
      <c r="DF234" s="44"/>
      <c r="DG234" s="44"/>
      <c r="DH234" s="44"/>
      <c r="DI234" s="44"/>
      <c r="DJ234" s="44"/>
      <c r="DK234" s="44"/>
      <c r="DL234" s="44"/>
      <c r="DM234" s="44"/>
      <c r="DN234" s="44"/>
      <c r="DO234" s="44"/>
      <c r="DP234" s="44"/>
      <c r="DQ234" s="44"/>
      <c r="DR234" s="44"/>
      <c r="DS234" s="44"/>
      <c r="DT234" s="44"/>
      <c r="DU234" s="44"/>
      <c r="DV234" s="44"/>
      <c r="DW234" s="44"/>
      <c r="DX234" s="44"/>
      <c r="DY234" s="44"/>
      <c r="DZ234" s="44"/>
      <c r="EA234" s="44"/>
      <c r="EB234" s="44"/>
      <c r="EC234" s="44"/>
      <c r="ED234" s="44"/>
      <c r="EE234" s="44"/>
      <c r="EF234" s="44"/>
      <c r="EG234" s="44"/>
    </row>
    <row r="235" spans="1:137" ht="9.75" customHeight="1">
      <c r="A235" s="14"/>
      <c r="B235" s="44"/>
      <c r="C235" s="44"/>
      <c r="D235" s="44"/>
      <c r="E235" s="44"/>
      <c r="F235" s="44"/>
      <c r="G235" s="44"/>
      <c r="H235" s="44"/>
      <c r="I235" s="44"/>
      <c r="J235" s="44"/>
      <c r="K235" s="44"/>
      <c r="L235" s="44"/>
      <c r="M235" s="44"/>
      <c r="N235" s="44"/>
      <c r="O235" s="44"/>
      <c r="P235" s="44"/>
      <c r="Q235" s="44"/>
      <c r="R235" s="44"/>
      <c r="S235" s="97"/>
      <c r="BU235" s="101"/>
      <c r="BV235" s="101"/>
      <c r="BW235" s="101"/>
      <c r="BX235" s="101"/>
      <c r="BY235" s="101"/>
      <c r="BZ235" s="101"/>
      <c r="CA235" s="101"/>
      <c r="CB235" s="101"/>
      <c r="CC235" s="101"/>
      <c r="CD235" s="101"/>
      <c r="CE235" s="45"/>
      <c r="CF235" s="44"/>
      <c r="CG235" s="44"/>
      <c r="CH235" s="44"/>
      <c r="CI235" s="44"/>
      <c r="CJ235" s="44"/>
      <c r="CK235" s="44"/>
      <c r="CL235" s="44"/>
      <c r="CM235" s="44"/>
      <c r="CN235" s="44"/>
      <c r="CO235" s="44"/>
      <c r="CP235" s="44"/>
      <c r="CQ235" s="44"/>
      <c r="CR235" s="44"/>
      <c r="CS235" s="44"/>
      <c r="CT235" s="44"/>
      <c r="CU235" s="44"/>
      <c r="CV235" s="44"/>
      <c r="CW235" s="44"/>
      <c r="CX235" s="44"/>
      <c r="CY235" s="44"/>
      <c r="CZ235" s="44"/>
      <c r="DA235" s="44"/>
      <c r="DB235" s="44"/>
      <c r="DC235" s="44"/>
      <c r="DD235" s="44"/>
      <c r="DE235" s="44"/>
      <c r="DF235" s="44"/>
      <c r="DG235" s="44"/>
      <c r="DH235" s="44"/>
      <c r="DI235" s="44"/>
      <c r="DJ235" s="44"/>
      <c r="DK235" s="44"/>
      <c r="DL235" s="44"/>
      <c r="DM235" s="44"/>
      <c r="DN235" s="44"/>
      <c r="DO235" s="44"/>
      <c r="DP235" s="44"/>
      <c r="DQ235" s="44"/>
      <c r="DR235" s="44"/>
      <c r="DS235" s="44"/>
      <c r="DT235" s="44"/>
      <c r="DU235" s="44"/>
      <c r="DV235" s="44"/>
      <c r="DW235" s="44"/>
      <c r="DX235" s="44"/>
      <c r="DY235" s="44"/>
      <c r="DZ235" s="44"/>
      <c r="EA235" s="44"/>
      <c r="EB235" s="44"/>
      <c r="EC235" s="44"/>
      <c r="ED235" s="44"/>
      <c r="EE235" s="44"/>
      <c r="EF235" s="44"/>
      <c r="EG235" s="44"/>
    </row>
    <row r="236" spans="1:137" ht="12" customHeight="1">
      <c r="A236" s="14"/>
      <c r="B236" s="44"/>
      <c r="C236" s="44"/>
      <c r="D236" s="44"/>
      <c r="E236" s="44"/>
      <c r="F236" s="44"/>
      <c r="G236" s="44"/>
      <c r="H236" s="44"/>
      <c r="I236" s="44"/>
      <c r="J236" s="44"/>
      <c r="K236" s="44"/>
      <c r="L236" s="44"/>
      <c r="M236" s="44"/>
      <c r="N236" s="44"/>
      <c r="O236" s="44"/>
      <c r="P236" s="44"/>
      <c r="Q236" s="44"/>
      <c r="R236" s="44"/>
      <c r="S236" s="97"/>
      <c r="BB236" s="3" t="s">
        <v>48</v>
      </c>
      <c r="BG236" s="3" t="s">
        <v>49</v>
      </c>
      <c r="BM236" s="3" t="s">
        <v>50</v>
      </c>
      <c r="BQ236" s="3" t="s">
        <v>51</v>
      </c>
      <c r="BU236" s="190" t="str">
        <f>IF(U153=FALSE,"",U153)</f>
        <v/>
      </c>
      <c r="BV236" s="190"/>
      <c r="BW236" s="190"/>
      <c r="BX236" s="190"/>
      <c r="BY236" s="190"/>
      <c r="BZ236" s="190"/>
      <c r="CA236" s="190"/>
      <c r="CB236" s="190"/>
      <c r="CC236" s="190"/>
      <c r="CD236" s="190"/>
      <c r="CE236" s="45"/>
      <c r="CF236" s="44"/>
      <c r="CG236" s="44"/>
      <c r="CH236" s="44"/>
      <c r="CI236" s="44"/>
      <c r="CJ236" s="44"/>
      <c r="CK236" s="44"/>
      <c r="CL236" s="44"/>
      <c r="CM236" s="44"/>
      <c r="CN236" s="44"/>
      <c r="CO236" s="44"/>
      <c r="CP236" s="44"/>
      <c r="CQ236" s="44"/>
      <c r="CR236" s="44"/>
      <c r="CS236" s="44"/>
      <c r="CT236" s="44"/>
      <c r="CU236" s="44"/>
      <c r="CV236" s="44"/>
      <c r="CW236" s="44"/>
      <c r="CX236" s="44"/>
      <c r="CY236" s="44"/>
      <c r="CZ236" s="44"/>
      <c r="DA236" s="44"/>
      <c r="DB236" s="44"/>
      <c r="DC236" s="44"/>
      <c r="DD236" s="44"/>
      <c r="DE236" s="44"/>
      <c r="DF236" s="44"/>
      <c r="DG236" s="44"/>
      <c r="DH236" s="44"/>
      <c r="DI236" s="44"/>
      <c r="DJ236" s="44"/>
      <c r="DK236" s="44"/>
      <c r="DL236" s="44"/>
      <c r="DM236" s="44"/>
      <c r="DN236" s="44"/>
      <c r="DO236" s="44"/>
      <c r="DP236" s="44"/>
      <c r="DQ236" s="44"/>
      <c r="DR236" s="44"/>
      <c r="DS236" s="44"/>
      <c r="DT236" s="44"/>
      <c r="DU236" s="44"/>
      <c r="DV236" s="44"/>
      <c r="DW236" s="44"/>
      <c r="DX236" s="44"/>
      <c r="DY236" s="44"/>
      <c r="DZ236" s="44"/>
      <c r="EA236" s="44"/>
      <c r="EB236" s="44"/>
      <c r="EC236" s="44"/>
      <c r="ED236" s="44"/>
      <c r="EE236" s="44"/>
      <c r="EF236" s="44"/>
      <c r="EG236" s="44"/>
    </row>
    <row r="237" spans="1:137" ht="9.75" customHeight="1">
      <c r="A237" s="14"/>
      <c r="B237" s="44"/>
      <c r="C237" s="44"/>
      <c r="D237" s="44"/>
      <c r="E237" s="44"/>
      <c r="F237" s="44"/>
      <c r="G237" s="44"/>
      <c r="H237" s="44"/>
      <c r="I237" s="44"/>
      <c r="J237" s="44"/>
      <c r="K237" s="44"/>
      <c r="L237" s="44"/>
      <c r="M237" s="44"/>
      <c r="N237" s="44"/>
      <c r="O237" s="44"/>
      <c r="P237" s="44"/>
      <c r="Q237" s="44"/>
      <c r="R237" s="44"/>
      <c r="S237" s="97"/>
      <c r="BU237" s="190"/>
      <c r="BV237" s="190"/>
      <c r="BW237" s="190"/>
      <c r="BX237" s="190"/>
      <c r="BY237" s="190"/>
      <c r="BZ237" s="190"/>
      <c r="CA237" s="190"/>
      <c r="CB237" s="190"/>
      <c r="CC237" s="190"/>
      <c r="CD237" s="190"/>
      <c r="CE237" s="45"/>
      <c r="CF237" s="44"/>
      <c r="CG237" s="44"/>
      <c r="CH237" s="44"/>
      <c r="CI237" s="44"/>
      <c r="CJ237" s="44"/>
      <c r="CK237" s="44"/>
      <c r="CL237" s="44"/>
      <c r="CM237" s="44"/>
      <c r="CN237" s="44"/>
      <c r="CO237" s="44"/>
      <c r="CP237" s="44"/>
      <c r="CQ237" s="44"/>
      <c r="CR237" s="44"/>
      <c r="CS237" s="44"/>
      <c r="CT237" s="44"/>
      <c r="CU237" s="44"/>
      <c r="CV237" s="44"/>
      <c r="CW237" s="44"/>
      <c r="CX237" s="44"/>
      <c r="CY237" s="44"/>
      <c r="CZ237" s="44"/>
      <c r="DA237" s="44"/>
      <c r="DB237" s="44"/>
      <c r="DC237" s="44"/>
      <c r="DD237" s="44"/>
      <c r="DE237" s="44"/>
      <c r="DF237" s="44"/>
      <c r="DG237" s="44"/>
      <c r="DH237" s="44"/>
      <c r="DI237" s="44"/>
      <c r="DJ237" s="44"/>
      <c r="DK237" s="44"/>
      <c r="DL237" s="44"/>
      <c r="DM237" s="44"/>
      <c r="DN237" s="44"/>
      <c r="DO237" s="44"/>
      <c r="DP237" s="44"/>
      <c r="DQ237" s="44"/>
      <c r="DR237" s="44"/>
      <c r="DS237" s="44"/>
      <c r="DT237" s="44"/>
      <c r="DU237" s="44"/>
      <c r="DV237" s="44"/>
      <c r="DW237" s="44"/>
      <c r="DX237" s="44"/>
      <c r="DY237" s="44"/>
      <c r="DZ237" s="44"/>
      <c r="EA237" s="44"/>
      <c r="EB237" s="44"/>
      <c r="EC237" s="44"/>
      <c r="ED237" s="44"/>
      <c r="EE237" s="44"/>
      <c r="EF237" s="44"/>
      <c r="EG237" s="44"/>
    </row>
    <row r="238" spans="1:137" ht="15" customHeight="1">
      <c r="A238" s="14"/>
      <c r="B238" s="44"/>
      <c r="C238" s="44"/>
      <c r="D238" s="44"/>
      <c r="E238" s="44"/>
      <c r="F238" s="44"/>
      <c r="G238" s="44"/>
      <c r="H238" s="44"/>
      <c r="I238" s="44"/>
      <c r="J238" s="44"/>
      <c r="K238" s="44"/>
      <c r="L238" s="44"/>
      <c r="M238" s="44"/>
      <c r="N238" s="44"/>
      <c r="O238" s="44"/>
      <c r="P238" s="44"/>
      <c r="Q238" s="44"/>
      <c r="R238" s="44"/>
      <c r="S238" s="97"/>
      <c r="BU238" s="191" t="s">
        <v>27</v>
      </c>
      <c r="BV238" s="191"/>
      <c r="BW238" s="191"/>
      <c r="BX238" s="191"/>
      <c r="BY238" s="191"/>
      <c r="BZ238" s="191"/>
      <c r="CA238" s="191"/>
      <c r="CB238" s="191"/>
      <c r="CC238" s="191"/>
      <c r="CD238" s="18"/>
      <c r="CE238" s="45"/>
      <c r="CF238" s="44"/>
      <c r="CG238" s="44"/>
      <c r="CH238" s="44"/>
      <c r="CI238" s="44"/>
      <c r="CJ238" s="44"/>
      <c r="CK238" s="44"/>
      <c r="CL238" s="44"/>
      <c r="CM238" s="44"/>
      <c r="CN238" s="44"/>
      <c r="CO238" s="44"/>
      <c r="CP238" s="44"/>
      <c r="CQ238" s="44"/>
      <c r="CR238" s="44"/>
      <c r="CS238" s="44"/>
      <c r="CT238" s="44"/>
      <c r="CU238" s="44"/>
      <c r="CV238" s="44"/>
      <c r="CW238" s="44"/>
      <c r="CX238" s="44"/>
      <c r="CY238" s="44"/>
      <c r="CZ238" s="44"/>
      <c r="DA238" s="44"/>
      <c r="DB238" s="44"/>
      <c r="DC238" s="44"/>
      <c r="DD238" s="44"/>
      <c r="DE238" s="44"/>
      <c r="DF238" s="44"/>
      <c r="DG238" s="44"/>
      <c r="DH238" s="44"/>
      <c r="DI238" s="44"/>
      <c r="DJ238" s="44"/>
      <c r="DK238" s="44"/>
      <c r="DL238" s="44"/>
      <c r="DM238" s="44"/>
      <c r="DN238" s="44"/>
      <c r="DO238" s="44"/>
      <c r="DP238" s="44"/>
      <c r="DQ238" s="44"/>
      <c r="DR238" s="44"/>
      <c r="DS238" s="44"/>
      <c r="DT238" s="44"/>
      <c r="DU238" s="44"/>
      <c r="DV238" s="44"/>
      <c r="DW238" s="44"/>
      <c r="DX238" s="44"/>
      <c r="DY238" s="44"/>
      <c r="DZ238" s="44"/>
      <c r="EA238" s="44"/>
      <c r="EB238" s="44"/>
      <c r="EC238" s="44"/>
      <c r="ED238" s="44"/>
      <c r="EE238" s="44"/>
      <c r="EF238" s="44"/>
      <c r="EG238" s="44"/>
    </row>
    <row r="239" spans="1:137">
      <c r="A239" s="14"/>
      <c r="B239" s="44"/>
      <c r="C239" s="44"/>
      <c r="D239" s="44"/>
      <c r="E239" s="44"/>
      <c r="F239" s="44"/>
      <c r="G239" s="44"/>
      <c r="H239" s="44"/>
      <c r="I239" s="44"/>
      <c r="J239" s="44"/>
      <c r="K239" s="44"/>
      <c r="L239" s="44"/>
      <c r="M239" s="44"/>
      <c r="N239" s="44"/>
      <c r="O239" s="44"/>
      <c r="P239" s="44"/>
      <c r="Q239" s="44"/>
      <c r="R239" s="44"/>
      <c r="S239" s="97"/>
      <c r="BU239" s="191"/>
      <c r="BV239" s="191"/>
      <c r="BW239" s="191"/>
      <c r="BX239" s="191"/>
      <c r="BY239" s="191"/>
      <c r="BZ239" s="191"/>
      <c r="CA239" s="191"/>
      <c r="CB239" s="191"/>
      <c r="CC239" s="191"/>
      <c r="CD239" s="18"/>
      <c r="CE239" s="45"/>
      <c r="CF239" s="44"/>
      <c r="CG239" s="44"/>
      <c r="CH239" s="44"/>
      <c r="CI239" s="44"/>
      <c r="CJ239" s="44"/>
      <c r="CK239" s="44"/>
      <c r="CL239" s="44"/>
      <c r="CM239" s="44"/>
      <c r="CN239" s="44"/>
      <c r="CO239" s="44"/>
      <c r="CP239" s="44"/>
      <c r="CQ239" s="44"/>
      <c r="CR239" s="44"/>
      <c r="CS239" s="44"/>
      <c r="CT239" s="44"/>
      <c r="CU239" s="44"/>
      <c r="CV239" s="44"/>
      <c r="CW239" s="44"/>
      <c r="CX239" s="44"/>
      <c r="CY239" s="44"/>
      <c r="CZ239" s="44"/>
      <c r="DA239" s="44"/>
      <c r="DB239" s="44"/>
      <c r="DC239" s="44"/>
      <c r="DD239" s="44"/>
      <c r="DE239" s="44"/>
      <c r="DF239" s="44"/>
      <c r="DG239" s="44"/>
      <c r="DH239" s="44"/>
      <c r="DI239" s="44"/>
      <c r="DJ239" s="44"/>
      <c r="DK239" s="44"/>
      <c r="DL239" s="44"/>
      <c r="DM239" s="44"/>
      <c r="DN239" s="44"/>
      <c r="DO239" s="44"/>
      <c r="DP239" s="44"/>
      <c r="DQ239" s="44"/>
      <c r="DR239" s="44"/>
      <c r="DS239" s="44"/>
      <c r="DT239" s="44"/>
      <c r="DU239" s="44"/>
      <c r="DV239" s="44"/>
      <c r="DW239" s="44"/>
      <c r="DX239" s="44"/>
      <c r="DY239" s="44"/>
      <c r="DZ239" s="44"/>
      <c r="EA239" s="44"/>
      <c r="EB239" s="44"/>
      <c r="EC239" s="44"/>
      <c r="ED239" s="44"/>
      <c r="EE239" s="44"/>
      <c r="EF239" s="44"/>
      <c r="EG239" s="44"/>
    </row>
    <row r="240" spans="1:137" ht="9.75" customHeight="1">
      <c r="A240" s="14"/>
      <c r="B240" s="44"/>
      <c r="C240" s="44"/>
      <c r="D240" s="44"/>
      <c r="E240" s="44"/>
      <c r="F240" s="44"/>
      <c r="G240" s="44"/>
      <c r="H240" s="44"/>
      <c r="I240" s="44"/>
      <c r="J240" s="44"/>
      <c r="K240" s="44"/>
      <c r="L240" s="44"/>
      <c r="M240" s="44"/>
      <c r="N240" s="44"/>
      <c r="O240" s="44"/>
      <c r="P240" s="44"/>
      <c r="Q240" s="44"/>
      <c r="R240" s="44"/>
      <c r="S240" s="97"/>
      <c r="BU240" s="19"/>
      <c r="BV240" s="19"/>
      <c r="BW240" s="19"/>
      <c r="BX240" s="102"/>
      <c r="BY240" s="19"/>
      <c r="BZ240" s="103"/>
      <c r="CA240" s="103"/>
      <c r="CB240" s="103"/>
      <c r="CC240" s="103"/>
      <c r="CD240" s="103"/>
      <c r="CE240" s="45"/>
      <c r="CF240" s="44"/>
      <c r="CG240" s="44"/>
      <c r="CH240" s="44"/>
      <c r="CI240" s="44"/>
      <c r="CJ240" s="44"/>
      <c r="CK240" s="44"/>
      <c r="CL240" s="44"/>
      <c r="CM240" s="44"/>
      <c r="CN240" s="44"/>
      <c r="CO240" s="44"/>
      <c r="CP240" s="44"/>
      <c r="CQ240" s="44"/>
      <c r="CR240" s="44"/>
      <c r="CS240" s="44"/>
      <c r="CT240" s="44"/>
      <c r="CU240" s="44"/>
      <c r="CV240" s="44"/>
      <c r="CW240" s="44"/>
      <c r="CX240" s="44"/>
      <c r="CY240" s="44"/>
      <c r="CZ240" s="44"/>
      <c r="DA240" s="44"/>
      <c r="DB240" s="44"/>
      <c r="DC240" s="44"/>
      <c r="DD240" s="44"/>
      <c r="DE240" s="44"/>
      <c r="DF240" s="44"/>
      <c r="DG240" s="44"/>
      <c r="DH240" s="44"/>
      <c r="DI240" s="44"/>
      <c r="DJ240" s="44"/>
      <c r="DK240" s="44"/>
      <c r="DL240" s="44"/>
      <c r="DM240" s="44"/>
      <c r="DN240" s="44"/>
      <c r="DO240" s="44"/>
      <c r="DP240" s="44"/>
      <c r="DQ240" s="44"/>
      <c r="DR240" s="44"/>
      <c r="DS240" s="44"/>
      <c r="DT240" s="44"/>
      <c r="DU240" s="44"/>
      <c r="DV240" s="44"/>
      <c r="DW240" s="44"/>
      <c r="DX240" s="44"/>
      <c r="DY240" s="44"/>
      <c r="DZ240" s="44"/>
      <c r="EA240" s="44"/>
      <c r="EB240" s="44"/>
      <c r="EC240" s="44"/>
      <c r="ED240" s="44"/>
      <c r="EE240" s="44"/>
      <c r="EF240" s="44"/>
      <c r="EG240" s="44"/>
    </row>
    <row r="241" spans="1:137">
      <c r="A241" s="14"/>
      <c r="B241" s="44"/>
      <c r="C241" s="44"/>
      <c r="D241" s="44"/>
      <c r="E241" s="44"/>
      <c r="F241" s="44"/>
      <c r="G241" s="44"/>
      <c r="H241" s="44"/>
      <c r="I241" s="44"/>
      <c r="J241" s="44"/>
      <c r="K241" s="44"/>
      <c r="L241" s="44"/>
      <c r="M241" s="44"/>
      <c r="N241" s="44"/>
      <c r="O241" s="44"/>
      <c r="P241" s="44"/>
      <c r="Q241" s="44"/>
      <c r="R241" s="44"/>
      <c r="S241" s="97"/>
      <c r="BU241" s="137" t="s">
        <v>16</v>
      </c>
      <c r="BV241" s="155">
        <f ca="1">NOW()</f>
        <v>44998.318220717592</v>
      </c>
      <c r="BW241" s="104"/>
      <c r="BX241" s="105"/>
      <c r="BY241" s="102" t="s">
        <v>52</v>
      </c>
      <c r="BZ241" s="103"/>
      <c r="CA241" s="103"/>
      <c r="CB241" s="103"/>
      <c r="CC241" s="103"/>
      <c r="CD241" s="103"/>
      <c r="CE241" s="45"/>
      <c r="CF241" s="44"/>
      <c r="CG241" s="44"/>
      <c r="CH241" s="44"/>
      <c r="CI241" s="44"/>
      <c r="CJ241" s="44"/>
      <c r="CK241" s="44"/>
      <c r="CL241" s="44"/>
      <c r="CM241" s="44"/>
      <c r="CN241" s="44"/>
      <c r="CO241" s="44"/>
      <c r="CP241" s="44"/>
      <c r="CQ241" s="44"/>
      <c r="CR241" s="44"/>
      <c r="CS241" s="44"/>
      <c r="CT241" s="44"/>
      <c r="CU241" s="44"/>
      <c r="CV241" s="44"/>
      <c r="CW241" s="44"/>
      <c r="CX241" s="44"/>
      <c r="CY241" s="44"/>
      <c r="CZ241" s="44"/>
      <c r="DA241" s="44"/>
      <c r="DB241" s="44"/>
      <c r="DC241" s="44"/>
      <c r="DD241" s="44"/>
      <c r="DE241" s="44"/>
      <c r="DF241" s="44"/>
      <c r="DG241" s="44"/>
      <c r="DH241" s="44"/>
      <c r="DI241" s="44"/>
      <c r="DJ241" s="44"/>
      <c r="DK241" s="44"/>
      <c r="DL241" s="44"/>
      <c r="DM241" s="44"/>
      <c r="DN241" s="44"/>
      <c r="DO241" s="44"/>
      <c r="DP241" s="44"/>
      <c r="DQ241" s="44"/>
      <c r="DR241" s="44"/>
      <c r="DS241" s="44"/>
      <c r="DT241" s="44"/>
      <c r="DU241" s="44"/>
      <c r="DV241" s="44"/>
      <c r="DW241" s="44"/>
      <c r="DX241" s="44"/>
      <c r="DY241" s="44"/>
      <c r="DZ241" s="44"/>
      <c r="EA241" s="44"/>
      <c r="EB241" s="44"/>
      <c r="EC241" s="44"/>
      <c r="ED241" s="44"/>
      <c r="EE241" s="44"/>
      <c r="EF241" s="44"/>
      <c r="EG241" s="44"/>
    </row>
    <row r="242" spans="1:137">
      <c r="A242" s="14"/>
      <c r="B242" s="44"/>
      <c r="C242" s="44"/>
      <c r="D242" s="44"/>
      <c r="E242" s="44"/>
      <c r="F242" s="44"/>
      <c r="G242" s="44"/>
      <c r="H242" s="44"/>
      <c r="I242" s="44"/>
      <c r="J242" s="44"/>
      <c r="K242" s="44"/>
      <c r="L242" s="44"/>
      <c r="M242" s="44"/>
      <c r="N242" s="44"/>
      <c r="O242" s="44"/>
      <c r="P242" s="44"/>
      <c r="Q242" s="44"/>
      <c r="R242" s="44"/>
      <c r="S242" s="97"/>
      <c r="BU242" s="187"/>
      <c r="BV242" s="187"/>
      <c r="BW242" s="19"/>
      <c r="BX242" s="103"/>
      <c r="BY242" s="103"/>
      <c r="BZ242" s="103"/>
      <c r="CA242" s="103"/>
      <c r="CB242" s="103"/>
      <c r="CC242" s="103"/>
      <c r="CD242" s="103"/>
      <c r="CE242" s="45"/>
      <c r="CF242" s="44"/>
      <c r="CG242" s="44"/>
      <c r="CH242" s="44"/>
      <c r="CI242" s="44"/>
      <c r="CJ242" s="44"/>
      <c r="CK242" s="44"/>
      <c r="CL242" s="44"/>
      <c r="CM242" s="44"/>
      <c r="CN242" s="44"/>
      <c r="CO242" s="44"/>
      <c r="CP242" s="44"/>
      <c r="CQ242" s="44"/>
      <c r="CR242" s="44"/>
      <c r="CS242" s="44"/>
      <c r="CT242" s="44"/>
      <c r="CU242" s="44"/>
      <c r="CV242" s="44"/>
      <c r="CW242" s="44"/>
      <c r="CX242" s="44"/>
      <c r="CY242" s="44"/>
      <c r="CZ242" s="44"/>
      <c r="DA242" s="44"/>
      <c r="DB242" s="44"/>
      <c r="DC242" s="44"/>
      <c r="DD242" s="44"/>
      <c r="DE242" s="44"/>
      <c r="DF242" s="44"/>
      <c r="DG242" s="44"/>
      <c r="DH242" s="44"/>
      <c r="DI242" s="44"/>
      <c r="DJ242" s="44"/>
      <c r="DK242" s="44"/>
      <c r="DL242" s="44"/>
      <c r="DM242" s="44"/>
      <c r="DN242" s="44"/>
      <c r="DO242" s="44"/>
      <c r="DP242" s="44"/>
      <c r="DQ242" s="44"/>
      <c r="DR242" s="44"/>
      <c r="DS242" s="44"/>
      <c r="DT242" s="44"/>
      <c r="DU242" s="44"/>
      <c r="DV242" s="44"/>
      <c r="DW242" s="44"/>
      <c r="DX242" s="44"/>
      <c r="DY242" s="44"/>
      <c r="DZ242" s="44"/>
      <c r="EA242" s="44"/>
      <c r="EB242" s="44"/>
      <c r="EC242" s="44"/>
      <c r="ED242" s="44"/>
      <c r="EE242" s="44"/>
      <c r="EF242" s="44"/>
      <c r="EG242" s="44"/>
    </row>
    <row r="243" spans="1:137">
      <c r="A243" s="14"/>
      <c r="B243" s="44"/>
      <c r="C243" s="44"/>
      <c r="D243" s="44"/>
      <c r="E243" s="44"/>
      <c r="F243" s="44"/>
      <c r="G243" s="44"/>
      <c r="H243" s="44"/>
      <c r="I243" s="44"/>
      <c r="J243" s="44"/>
      <c r="K243" s="44"/>
      <c r="L243" s="44"/>
      <c r="M243" s="44"/>
      <c r="N243" s="44"/>
      <c r="O243" s="44"/>
      <c r="P243" s="44"/>
      <c r="Q243" s="44"/>
      <c r="R243" s="44"/>
      <c r="S243" s="97"/>
      <c r="BU243" s="102"/>
      <c r="BV243" s="103"/>
      <c r="BW243" s="19"/>
      <c r="BX243" s="19"/>
      <c r="BY243" s="112"/>
      <c r="BZ243" s="16"/>
      <c r="CA243" s="16"/>
      <c r="CB243" s="16"/>
      <c r="CC243" s="16"/>
      <c r="CD243" s="19"/>
      <c r="CE243" s="45"/>
      <c r="CF243" s="44"/>
      <c r="CG243" s="44"/>
      <c r="CH243" s="44"/>
      <c r="CI243" s="44"/>
      <c r="CJ243" s="44"/>
      <c r="CK243" s="44"/>
      <c r="CL243" s="44"/>
      <c r="CM243" s="44"/>
      <c r="CN243" s="44"/>
      <c r="CO243" s="44"/>
      <c r="CP243" s="44"/>
      <c r="CQ243" s="44"/>
      <c r="CR243" s="44"/>
      <c r="CS243" s="44"/>
      <c r="CT243" s="44"/>
      <c r="CU243" s="44"/>
      <c r="CV243" s="44"/>
      <c r="CW243" s="44"/>
      <c r="CX243" s="44"/>
      <c r="CY243" s="44"/>
      <c r="CZ243" s="44"/>
      <c r="DA243" s="44"/>
      <c r="DB243" s="44"/>
      <c r="DC243" s="44"/>
      <c r="DD243" s="44"/>
      <c r="DE243" s="44"/>
      <c r="DF243" s="44"/>
      <c r="DG243" s="44"/>
      <c r="DH243" s="44"/>
      <c r="DI243" s="44"/>
      <c r="DJ243" s="44"/>
      <c r="DK243" s="44"/>
      <c r="DL243" s="44"/>
      <c r="DM243" s="44"/>
      <c r="DN243" s="44"/>
      <c r="DO243" s="44"/>
      <c r="DP243" s="44"/>
      <c r="DQ243" s="44"/>
      <c r="DR243" s="44"/>
      <c r="DS243" s="44"/>
      <c r="DT243" s="44"/>
      <c r="DU243" s="44"/>
      <c r="DV243" s="44"/>
      <c r="DW243" s="44"/>
      <c r="DX243" s="44"/>
      <c r="DY243" s="44"/>
      <c r="DZ243" s="44"/>
      <c r="EA243" s="44"/>
      <c r="EB243" s="44"/>
      <c r="EC243" s="44"/>
      <c r="ED243" s="44"/>
      <c r="EE243" s="44"/>
      <c r="EF243" s="44"/>
      <c r="EG243" s="44"/>
    </row>
    <row r="244" spans="1:137">
      <c r="A244" s="14"/>
      <c r="B244" s="44"/>
      <c r="C244" s="44"/>
      <c r="D244" s="44"/>
      <c r="E244" s="44"/>
      <c r="F244" s="44"/>
      <c r="G244" s="44"/>
      <c r="H244" s="44"/>
      <c r="I244" s="44"/>
      <c r="J244" s="44"/>
      <c r="K244" s="44"/>
      <c r="L244" s="44"/>
      <c r="M244" s="44"/>
      <c r="N244" s="44"/>
      <c r="O244" s="44"/>
      <c r="P244" s="44"/>
      <c r="Q244" s="44"/>
      <c r="R244" s="44"/>
      <c r="S244" s="97"/>
      <c r="BU244" s="19"/>
      <c r="BV244" s="19"/>
      <c r="BW244" s="19"/>
      <c r="BX244" s="19"/>
      <c r="BY244" s="185" t="str">
        <f>IF(C9="","",C9)</f>
        <v/>
      </c>
      <c r="BZ244" s="185"/>
      <c r="CA244" s="185"/>
      <c r="CB244" s="185"/>
      <c r="CC244" s="185"/>
      <c r="CD244" s="19"/>
      <c r="CE244" s="45"/>
      <c r="CF244" s="44"/>
      <c r="CG244" s="44"/>
      <c r="CH244" s="44"/>
      <c r="CI244" s="44"/>
      <c r="CJ244" s="44"/>
      <c r="CK244" s="44"/>
      <c r="CL244" s="44"/>
      <c r="CM244" s="44"/>
      <c r="CN244" s="44"/>
      <c r="CO244" s="44"/>
      <c r="CP244" s="44"/>
      <c r="CQ244" s="44"/>
      <c r="CR244" s="44"/>
      <c r="CS244" s="44"/>
      <c r="CT244" s="44"/>
      <c r="CU244" s="44"/>
      <c r="CV244" s="44"/>
      <c r="CW244" s="44"/>
      <c r="CX244" s="44"/>
      <c r="CY244" s="44"/>
      <c r="CZ244" s="44"/>
      <c r="DA244" s="44"/>
      <c r="DB244" s="44"/>
      <c r="DC244" s="44"/>
      <c r="DD244" s="44"/>
      <c r="DE244" s="44"/>
      <c r="DF244" s="44"/>
      <c r="DG244" s="44"/>
      <c r="DH244" s="44"/>
      <c r="DI244" s="44"/>
      <c r="DJ244" s="44"/>
      <c r="DK244" s="44"/>
      <c r="DL244" s="44"/>
      <c r="DM244" s="44"/>
      <c r="DN244" s="44"/>
      <c r="DO244" s="44"/>
      <c r="DP244" s="44"/>
      <c r="DQ244" s="44"/>
      <c r="DR244" s="44"/>
      <c r="DS244" s="44"/>
      <c r="DT244" s="44"/>
      <c r="DU244" s="44"/>
      <c r="DV244" s="44"/>
      <c r="DW244" s="44"/>
      <c r="DX244" s="44"/>
      <c r="DY244" s="44"/>
      <c r="DZ244" s="44"/>
      <c r="EA244" s="44"/>
      <c r="EB244" s="44"/>
      <c r="EC244" s="44"/>
      <c r="ED244" s="44"/>
      <c r="EE244" s="44"/>
      <c r="EF244" s="44"/>
      <c r="EG244" s="44"/>
    </row>
    <row r="245" spans="1:137">
      <c r="A245" s="14"/>
      <c r="B245" s="44"/>
      <c r="C245" s="44"/>
      <c r="D245" s="44"/>
      <c r="E245" s="44"/>
      <c r="F245" s="44"/>
      <c r="G245" s="44"/>
      <c r="H245" s="44"/>
      <c r="I245" s="44"/>
      <c r="J245" s="44"/>
      <c r="K245" s="44"/>
      <c r="L245" s="44"/>
      <c r="M245" s="44"/>
      <c r="N245" s="44"/>
      <c r="O245" s="44"/>
      <c r="P245" s="44"/>
      <c r="Q245" s="44"/>
      <c r="R245" s="44"/>
      <c r="S245" s="97"/>
      <c r="BU245" s="19"/>
      <c r="BV245" s="19"/>
      <c r="BW245" s="19"/>
      <c r="BX245" s="19"/>
      <c r="BY245" s="186" t="str">
        <f>IF(C12="","",C12)</f>
        <v/>
      </c>
      <c r="BZ245" s="186"/>
      <c r="CA245" s="186"/>
      <c r="CB245" s="186"/>
      <c r="CC245" s="186"/>
      <c r="CD245" s="19"/>
      <c r="CE245" s="45"/>
      <c r="CF245" s="44"/>
      <c r="CG245" s="44"/>
      <c r="CH245" s="44"/>
      <c r="CI245" s="44"/>
      <c r="CJ245" s="44"/>
      <c r="CK245" s="44"/>
      <c r="CL245" s="44"/>
      <c r="CM245" s="44"/>
      <c r="CN245" s="44"/>
      <c r="CO245" s="44"/>
      <c r="CP245" s="44"/>
      <c r="CQ245" s="44"/>
      <c r="CR245" s="44"/>
      <c r="CS245" s="44"/>
      <c r="CT245" s="44"/>
      <c r="CU245" s="44"/>
      <c r="CV245" s="44"/>
      <c r="CW245" s="44"/>
      <c r="CX245" s="44"/>
      <c r="CY245" s="44"/>
      <c r="CZ245" s="44"/>
      <c r="DA245" s="44"/>
      <c r="DB245" s="44"/>
      <c r="DC245" s="44"/>
      <c r="DD245" s="44"/>
      <c r="DE245" s="44"/>
      <c r="DF245" s="44"/>
      <c r="DG245" s="44"/>
      <c r="DH245" s="44"/>
      <c r="DI245" s="44"/>
      <c r="DJ245" s="44"/>
      <c r="DK245" s="44"/>
      <c r="DL245" s="44"/>
      <c r="DM245" s="44"/>
      <c r="DN245" s="44"/>
      <c r="DO245" s="44"/>
      <c r="DP245" s="44"/>
      <c r="DQ245" s="44"/>
      <c r="DR245" s="44"/>
      <c r="DS245" s="44"/>
      <c r="DT245" s="44"/>
      <c r="DU245" s="44"/>
      <c r="DV245" s="44"/>
      <c r="DW245" s="44"/>
      <c r="DX245" s="44"/>
      <c r="DY245" s="44"/>
      <c r="DZ245" s="44"/>
      <c r="EA245" s="44"/>
      <c r="EB245" s="44"/>
      <c r="EC245" s="44"/>
      <c r="ED245" s="44"/>
      <c r="EE245" s="44"/>
      <c r="EF245" s="44"/>
      <c r="EG245" s="44"/>
    </row>
    <row r="246" spans="1:137">
      <c r="A246" s="14"/>
      <c r="B246" s="44"/>
      <c r="C246" s="44"/>
      <c r="D246" s="44"/>
      <c r="E246" s="44"/>
      <c r="F246" s="44"/>
      <c r="G246" s="44"/>
      <c r="H246" s="44"/>
      <c r="I246" s="44"/>
      <c r="J246" s="44"/>
      <c r="K246" s="44"/>
      <c r="L246" s="44"/>
      <c r="M246" s="44"/>
      <c r="N246" s="44"/>
      <c r="O246" s="44"/>
      <c r="P246" s="44"/>
      <c r="Q246" s="44"/>
      <c r="R246" s="44"/>
      <c r="S246" s="44"/>
      <c r="T246" s="20"/>
      <c r="U246" s="20"/>
      <c r="V246" s="20"/>
      <c r="W246" s="20"/>
      <c r="X246" s="20"/>
      <c r="Y246" s="20"/>
      <c r="Z246" s="20"/>
      <c r="AA246" s="20"/>
      <c r="AB246" s="20"/>
      <c r="AC246" s="20"/>
      <c r="AD246" s="20"/>
      <c r="AE246" s="20"/>
      <c r="AF246" s="20"/>
      <c r="AG246" s="20"/>
      <c r="AH246" s="20"/>
      <c r="AI246" s="20"/>
      <c r="AJ246" s="20"/>
      <c r="AK246" s="20"/>
      <c r="AL246" s="20"/>
      <c r="AM246" s="20"/>
      <c r="AN246" s="20"/>
      <c r="AO246" s="20"/>
      <c r="AP246" s="20"/>
      <c r="AQ246" s="20"/>
      <c r="AR246" s="20"/>
      <c r="AS246" s="20"/>
      <c r="AT246" s="20"/>
      <c r="AU246" s="20"/>
      <c r="AV246" s="20"/>
      <c r="AW246" s="20"/>
      <c r="AX246" s="20"/>
      <c r="AY246" s="20"/>
      <c r="AZ246" s="20"/>
      <c r="BA246" s="20"/>
      <c r="BB246" s="20"/>
      <c r="BC246" s="20"/>
      <c r="BD246" s="20"/>
      <c r="BE246" s="20"/>
      <c r="BF246" s="20"/>
      <c r="BG246" s="20"/>
      <c r="BH246" s="20"/>
      <c r="BI246" s="20"/>
      <c r="BJ246" s="20"/>
      <c r="BK246" s="20"/>
      <c r="BL246" s="20"/>
      <c r="BM246" s="20"/>
      <c r="BN246" s="20"/>
      <c r="BO246" s="20"/>
      <c r="BP246" s="20"/>
      <c r="BQ246" s="20"/>
      <c r="BR246" s="20"/>
      <c r="BS246" s="20"/>
      <c r="BT246" s="20"/>
      <c r="BU246" s="45"/>
      <c r="BV246" s="45"/>
      <c r="BW246" s="45"/>
      <c r="BX246" s="45"/>
      <c r="BY246" s="45"/>
      <c r="BZ246" s="45"/>
      <c r="CA246" s="45"/>
      <c r="CB246" s="45"/>
      <c r="CC246" s="45"/>
      <c r="CD246" s="45"/>
      <c r="CE246" s="44"/>
      <c r="CF246" s="44"/>
      <c r="CG246" s="44"/>
      <c r="CH246" s="44"/>
      <c r="CI246" s="44"/>
      <c r="CJ246" s="44"/>
      <c r="CK246" s="44"/>
      <c r="CL246" s="44"/>
      <c r="CM246" s="44"/>
      <c r="CN246" s="44"/>
      <c r="CO246" s="44"/>
      <c r="CP246" s="44"/>
      <c r="CQ246" s="44"/>
      <c r="CR246" s="44"/>
      <c r="CS246" s="44"/>
      <c r="CT246" s="44"/>
      <c r="CU246" s="44"/>
      <c r="CV246" s="44"/>
      <c r="CW246" s="44"/>
      <c r="CX246" s="44"/>
      <c r="CY246" s="44"/>
      <c r="CZ246" s="44"/>
      <c r="DA246" s="44"/>
      <c r="DB246" s="44"/>
      <c r="DC246" s="44"/>
      <c r="DD246" s="44"/>
      <c r="DE246" s="44"/>
      <c r="DF246" s="44"/>
      <c r="DG246" s="44"/>
      <c r="DH246" s="44"/>
      <c r="DI246" s="44"/>
      <c r="DJ246" s="44"/>
      <c r="DK246" s="44"/>
      <c r="DL246" s="44"/>
      <c r="DM246" s="44"/>
      <c r="DN246" s="44"/>
      <c r="DO246" s="44"/>
      <c r="DP246" s="44"/>
      <c r="DQ246" s="44"/>
      <c r="DR246" s="44"/>
      <c r="DS246" s="44"/>
      <c r="DT246" s="44"/>
      <c r="DU246" s="44"/>
      <c r="DV246" s="44"/>
      <c r="DW246" s="44"/>
      <c r="DX246" s="44"/>
      <c r="DY246" s="44"/>
      <c r="DZ246" s="44"/>
      <c r="EA246" s="44"/>
      <c r="EB246" s="44"/>
      <c r="EC246" s="44"/>
      <c r="ED246" s="44"/>
      <c r="EE246" s="44"/>
      <c r="EF246" s="44"/>
      <c r="EG246" s="44"/>
    </row>
    <row r="247" spans="1:137">
      <c r="A247" s="14"/>
      <c r="B247" s="44"/>
      <c r="C247" s="44"/>
      <c r="D247" s="44"/>
      <c r="E247" s="44"/>
      <c r="F247" s="44"/>
      <c r="G247" s="44"/>
      <c r="H247" s="44"/>
      <c r="I247" s="44"/>
      <c r="J247" s="44"/>
      <c r="K247" s="44"/>
      <c r="L247" s="44"/>
      <c r="M247" s="44"/>
      <c r="N247" s="44"/>
      <c r="O247" s="44"/>
      <c r="P247" s="44"/>
      <c r="Q247" s="44"/>
      <c r="R247" s="44"/>
      <c r="S247" s="44"/>
      <c r="T247" s="20"/>
      <c r="U247" s="20"/>
      <c r="V247" s="20"/>
      <c r="W247" s="20"/>
      <c r="X247" s="20"/>
      <c r="Y247" s="20"/>
      <c r="Z247" s="20"/>
      <c r="AA247" s="20"/>
      <c r="AB247" s="20"/>
      <c r="AC247" s="20"/>
      <c r="AD247" s="20"/>
      <c r="AE247" s="20"/>
      <c r="AF247" s="20"/>
      <c r="AG247" s="20"/>
      <c r="AH247" s="20"/>
      <c r="AI247" s="20"/>
      <c r="AJ247" s="20"/>
      <c r="AK247" s="20"/>
      <c r="AL247" s="20"/>
      <c r="AM247" s="20"/>
      <c r="AN247" s="20"/>
      <c r="AO247" s="20"/>
      <c r="AP247" s="20"/>
      <c r="AQ247" s="20"/>
      <c r="AR247" s="20"/>
      <c r="AS247" s="20"/>
      <c r="AT247" s="20"/>
      <c r="AU247" s="20"/>
      <c r="AV247" s="20"/>
      <c r="AW247" s="20"/>
      <c r="AX247" s="20"/>
      <c r="AY247" s="20"/>
      <c r="AZ247" s="20"/>
      <c r="BA247" s="20"/>
      <c r="BB247" s="20"/>
      <c r="BC247" s="20"/>
      <c r="BD247" s="20"/>
      <c r="BE247" s="20"/>
      <c r="BF247" s="20"/>
      <c r="BG247" s="20"/>
      <c r="BH247" s="20"/>
      <c r="BI247" s="20"/>
      <c r="BJ247" s="20"/>
      <c r="BK247" s="20"/>
      <c r="BL247" s="20"/>
      <c r="BM247" s="20"/>
      <c r="BN247" s="20"/>
      <c r="BO247" s="20"/>
      <c r="BP247" s="20"/>
      <c r="BQ247" s="20"/>
      <c r="BR247" s="20"/>
      <c r="BS247" s="20"/>
      <c r="BT247" s="20"/>
      <c r="BU247" s="44"/>
      <c r="BV247" s="44"/>
      <c r="BW247" s="44"/>
      <c r="BX247" s="44"/>
      <c r="BY247" s="44"/>
      <c r="BZ247" s="44"/>
      <c r="CA247" s="44"/>
      <c r="CB247" s="44"/>
      <c r="CC247" s="44"/>
      <c r="CD247" s="44"/>
      <c r="CE247" s="44"/>
      <c r="CF247" s="44"/>
      <c r="CG247" s="44"/>
      <c r="CH247" s="44"/>
      <c r="CI247" s="44"/>
      <c r="CJ247" s="44"/>
      <c r="CK247" s="44"/>
      <c r="CL247" s="44"/>
      <c r="CM247" s="44"/>
      <c r="CN247" s="44"/>
      <c r="CO247" s="44"/>
      <c r="CP247" s="44"/>
      <c r="CQ247" s="44"/>
      <c r="CR247" s="44"/>
      <c r="CS247" s="44"/>
      <c r="CT247" s="44"/>
      <c r="CU247" s="44"/>
      <c r="CV247" s="44"/>
      <c r="CW247" s="44"/>
      <c r="CX247" s="44"/>
      <c r="CY247" s="44"/>
      <c r="CZ247" s="44"/>
      <c r="DA247" s="44"/>
      <c r="DB247" s="44"/>
      <c r="DC247" s="44"/>
      <c r="DD247" s="44"/>
      <c r="DE247" s="44"/>
      <c r="DF247" s="44"/>
      <c r="DG247" s="44"/>
      <c r="DH247" s="44"/>
      <c r="DI247" s="44"/>
      <c r="DJ247" s="44"/>
      <c r="DK247" s="44"/>
      <c r="DL247" s="44"/>
      <c r="DM247" s="44"/>
      <c r="DN247" s="44"/>
      <c r="DO247" s="44"/>
      <c r="DP247" s="44"/>
      <c r="DQ247" s="44"/>
      <c r="DR247" s="44"/>
      <c r="DS247" s="44"/>
      <c r="DT247" s="44"/>
      <c r="DU247" s="44"/>
      <c r="DV247" s="44"/>
      <c r="DW247" s="44"/>
      <c r="DX247" s="44"/>
      <c r="DY247" s="44"/>
      <c r="DZ247" s="44"/>
      <c r="EA247" s="44"/>
      <c r="EB247" s="44"/>
      <c r="EC247" s="44"/>
      <c r="ED247" s="44"/>
      <c r="EE247" s="44"/>
      <c r="EF247" s="44"/>
      <c r="EG247" s="44"/>
    </row>
    <row r="248" spans="1:137">
      <c r="A248" s="14"/>
      <c r="B248" s="44"/>
      <c r="C248" s="44"/>
      <c r="D248" s="44"/>
      <c r="E248" s="44"/>
      <c r="F248" s="44"/>
      <c r="G248" s="44"/>
      <c r="H248" s="44"/>
      <c r="I248" s="44"/>
      <c r="J248" s="44"/>
      <c r="K248" s="44"/>
      <c r="L248" s="44"/>
      <c r="M248" s="44"/>
      <c r="N248" s="44"/>
      <c r="O248" s="44"/>
      <c r="P248" s="44"/>
      <c r="Q248" s="44"/>
      <c r="R248" s="44"/>
      <c r="S248" s="44"/>
      <c r="T248" s="20"/>
      <c r="U248" s="20"/>
      <c r="V248" s="20"/>
      <c r="W248" s="20"/>
      <c r="X248" s="20"/>
      <c r="Y248" s="20"/>
      <c r="Z248" s="20"/>
      <c r="AA248" s="20"/>
      <c r="AB248" s="20"/>
      <c r="AC248" s="20"/>
      <c r="AD248" s="20"/>
      <c r="AE248" s="20"/>
      <c r="AF248" s="20"/>
      <c r="AG248" s="20"/>
      <c r="AH248" s="20"/>
      <c r="AI248" s="20"/>
      <c r="AJ248" s="20"/>
      <c r="AK248" s="20"/>
      <c r="AL248" s="20"/>
      <c r="AM248" s="20"/>
      <c r="AN248" s="20"/>
      <c r="AO248" s="20"/>
      <c r="AP248" s="25"/>
      <c r="AQ248" s="20"/>
      <c r="AR248" s="20"/>
      <c r="AS248" s="20"/>
      <c r="AT248" s="20"/>
      <c r="AU248" s="20"/>
      <c r="AV248" s="20"/>
      <c r="AW248" s="20"/>
      <c r="AX248" s="20"/>
      <c r="AY248" s="20"/>
      <c r="AZ248" s="20"/>
      <c r="BA248" s="20"/>
      <c r="BB248" s="20"/>
      <c r="BC248" s="20"/>
      <c r="BD248" s="20"/>
      <c r="BE248" s="20"/>
      <c r="BF248" s="20"/>
      <c r="BG248" s="20"/>
      <c r="BH248" s="20"/>
      <c r="BI248" s="20"/>
      <c r="BJ248" s="20"/>
      <c r="BK248" s="20"/>
      <c r="BL248" s="20"/>
      <c r="BM248" s="20"/>
      <c r="BN248" s="20"/>
      <c r="BO248" s="20"/>
      <c r="BP248" s="20"/>
      <c r="BQ248" s="20"/>
      <c r="BR248" s="20"/>
      <c r="BS248" s="20"/>
      <c r="BT248" s="20"/>
      <c r="BU248" s="44"/>
      <c r="BV248" s="44"/>
      <c r="BW248" s="44"/>
      <c r="BX248" s="44"/>
      <c r="BY248" s="44"/>
      <c r="BZ248" s="44"/>
      <c r="CA248" s="44"/>
      <c r="CB248" s="44"/>
      <c r="CC248" s="44"/>
      <c r="CD248" s="44"/>
      <c r="CE248" s="44"/>
      <c r="CF248" s="44"/>
      <c r="CG248" s="44"/>
      <c r="CH248" s="44"/>
      <c r="CI248" s="44"/>
      <c r="CJ248" s="44"/>
      <c r="CK248" s="44"/>
      <c r="CL248" s="44"/>
      <c r="CM248" s="44"/>
      <c r="CN248" s="44"/>
      <c r="CO248" s="44"/>
      <c r="CP248" s="44"/>
      <c r="CQ248" s="44"/>
      <c r="CR248" s="44"/>
      <c r="CS248" s="44"/>
      <c r="CT248" s="44"/>
      <c r="CU248" s="44"/>
      <c r="CV248" s="44"/>
      <c r="CW248" s="44"/>
      <c r="CX248" s="44"/>
      <c r="CY248" s="44"/>
      <c r="CZ248" s="44"/>
      <c r="DA248" s="44"/>
      <c r="DB248" s="44"/>
      <c r="DC248" s="44"/>
      <c r="DD248" s="44"/>
      <c r="DE248" s="44"/>
      <c r="DF248" s="44"/>
      <c r="DG248" s="44"/>
      <c r="DH248" s="44"/>
      <c r="DI248" s="44"/>
      <c r="DJ248" s="44"/>
      <c r="DK248" s="44"/>
      <c r="DL248" s="44"/>
      <c r="DM248" s="44"/>
      <c r="DN248" s="44"/>
      <c r="DO248" s="44"/>
      <c r="DP248" s="44"/>
      <c r="DQ248" s="44"/>
      <c r="DR248" s="44"/>
      <c r="DS248" s="44"/>
      <c r="DT248" s="44"/>
      <c r="DU248" s="44"/>
      <c r="DV248" s="44"/>
      <c r="DW248" s="44"/>
      <c r="DX248" s="44"/>
      <c r="DY248" s="44"/>
      <c r="DZ248" s="44"/>
      <c r="EA248" s="44"/>
      <c r="EB248" s="44"/>
      <c r="EC248" s="44"/>
      <c r="ED248" s="44"/>
      <c r="EE248" s="44"/>
      <c r="EF248" s="44"/>
      <c r="EG248" s="44"/>
    </row>
    <row r="249" spans="1:137">
      <c r="A249" s="14"/>
      <c r="B249" s="44"/>
      <c r="C249" s="44"/>
      <c r="D249" s="44"/>
      <c r="E249" s="44"/>
      <c r="F249" s="44"/>
      <c r="G249" s="44"/>
      <c r="H249" s="44"/>
      <c r="I249" s="44"/>
      <c r="J249" s="44"/>
      <c r="K249" s="44"/>
      <c r="L249" s="44"/>
      <c r="M249" s="44"/>
      <c r="N249" s="44"/>
      <c r="O249" s="44"/>
      <c r="P249" s="44"/>
      <c r="Q249" s="44"/>
      <c r="R249" s="44"/>
      <c r="S249" s="44"/>
      <c r="T249" s="20"/>
      <c r="U249" s="20"/>
      <c r="V249" s="20"/>
      <c r="W249" s="20"/>
      <c r="X249" s="20"/>
      <c r="Y249" s="20"/>
      <c r="Z249" s="20"/>
      <c r="AA249" s="20"/>
      <c r="AB249" s="20"/>
      <c r="AC249" s="20"/>
      <c r="AD249" s="20"/>
      <c r="AE249" s="20"/>
      <c r="AF249" s="20"/>
      <c r="AG249" s="20"/>
      <c r="AH249" s="20"/>
      <c r="AI249" s="20"/>
      <c r="AJ249" s="20"/>
      <c r="AK249" s="20"/>
      <c r="AL249" s="20"/>
      <c r="AM249" s="20"/>
      <c r="AN249" s="20"/>
      <c r="AO249" s="20"/>
      <c r="AP249" s="20"/>
      <c r="AQ249" s="20"/>
      <c r="AR249" s="20"/>
      <c r="AS249" s="20"/>
      <c r="AT249" s="20"/>
      <c r="AU249" s="20"/>
      <c r="AV249" s="20"/>
      <c r="AW249" s="20"/>
      <c r="AX249" s="20"/>
      <c r="AY249" s="20"/>
      <c r="AZ249" s="20"/>
      <c r="BA249" s="20"/>
      <c r="BB249" s="20"/>
      <c r="BC249" s="20"/>
      <c r="BD249" s="20"/>
      <c r="BE249" s="20"/>
      <c r="BF249" s="20"/>
      <c r="BG249" s="20"/>
      <c r="BH249" s="20"/>
      <c r="BI249" s="20"/>
      <c r="BJ249" s="20"/>
      <c r="BK249" s="20"/>
      <c r="BL249" s="20"/>
      <c r="BM249" s="20"/>
      <c r="BN249" s="20"/>
      <c r="BO249" s="20"/>
      <c r="BP249" s="20"/>
      <c r="BQ249" s="20"/>
      <c r="BR249" s="20"/>
      <c r="BS249" s="20"/>
      <c r="BT249" s="20"/>
      <c r="BU249" s="44"/>
      <c r="BV249" s="44"/>
      <c r="BW249" s="44"/>
      <c r="BX249" s="44"/>
      <c r="BY249" s="44"/>
      <c r="BZ249" s="44"/>
      <c r="CA249" s="44"/>
      <c r="CB249" s="44"/>
      <c r="CC249" s="44"/>
      <c r="CD249" s="44"/>
      <c r="CE249" s="44"/>
      <c r="CF249" s="44"/>
      <c r="CG249" s="44"/>
      <c r="CH249" s="44"/>
      <c r="CI249" s="44"/>
      <c r="CJ249" s="44"/>
      <c r="CK249" s="44"/>
      <c r="CL249" s="44"/>
      <c r="CM249" s="44"/>
      <c r="CN249" s="44"/>
      <c r="CO249" s="44"/>
      <c r="CP249" s="44"/>
      <c r="CQ249" s="44"/>
      <c r="CR249" s="44"/>
      <c r="CS249" s="44"/>
      <c r="CT249" s="44"/>
      <c r="CU249" s="44"/>
      <c r="CV249" s="44"/>
      <c r="CW249" s="44"/>
      <c r="CX249" s="44"/>
      <c r="CY249" s="44"/>
      <c r="CZ249" s="44"/>
      <c r="DA249" s="44"/>
      <c r="DB249" s="44"/>
      <c r="DC249" s="44"/>
      <c r="DD249" s="44"/>
      <c r="DE249" s="44"/>
      <c r="DF249" s="44"/>
      <c r="DG249" s="44"/>
      <c r="DH249" s="44"/>
      <c r="DI249" s="44"/>
      <c r="DJ249" s="44"/>
      <c r="DK249" s="44"/>
      <c r="DL249" s="44"/>
      <c r="DM249" s="44"/>
      <c r="DN249" s="44"/>
      <c r="DO249" s="44"/>
      <c r="DP249" s="44"/>
      <c r="DQ249" s="44"/>
      <c r="DR249" s="44"/>
      <c r="DS249" s="44"/>
      <c r="DT249" s="44"/>
      <c r="DU249" s="44"/>
      <c r="DV249" s="44"/>
      <c r="DW249" s="44"/>
      <c r="DX249" s="44"/>
      <c r="DY249" s="44"/>
      <c r="DZ249" s="44"/>
      <c r="EA249" s="44"/>
      <c r="EB249" s="44"/>
      <c r="EC249" s="44"/>
      <c r="ED249" s="44"/>
      <c r="EE249" s="44"/>
      <c r="EF249" s="44"/>
      <c r="EG249" s="44"/>
    </row>
    <row r="250" spans="1:137">
      <c r="A250" s="14"/>
      <c r="B250" s="44"/>
      <c r="C250" s="44"/>
      <c r="D250" s="44"/>
      <c r="E250" s="44"/>
      <c r="F250" s="44"/>
      <c r="G250" s="44"/>
      <c r="H250" s="44"/>
      <c r="I250" s="44"/>
      <c r="J250" s="44"/>
      <c r="K250" s="44"/>
      <c r="L250" s="44"/>
      <c r="M250" s="44"/>
      <c r="N250" s="44"/>
      <c r="O250" s="44"/>
      <c r="P250" s="44"/>
      <c r="Q250" s="44"/>
      <c r="R250" s="44"/>
      <c r="S250" s="44"/>
      <c r="T250" s="20"/>
      <c r="U250" s="20"/>
      <c r="V250" s="20"/>
      <c r="W250" s="20"/>
      <c r="X250" s="20"/>
      <c r="Y250" s="20"/>
      <c r="Z250" s="20"/>
      <c r="AA250" s="20"/>
      <c r="AB250" s="20"/>
      <c r="AC250" s="20"/>
      <c r="AD250" s="20"/>
      <c r="AE250" s="20"/>
      <c r="AF250" s="20"/>
      <c r="AG250" s="20"/>
      <c r="AH250" s="20"/>
      <c r="AI250" s="20"/>
      <c r="AJ250" s="20"/>
      <c r="AK250" s="20"/>
      <c r="AL250" s="20"/>
      <c r="AM250" s="20"/>
      <c r="AN250" s="20"/>
      <c r="AO250" s="20"/>
      <c r="AP250" s="20"/>
      <c r="AQ250" s="20"/>
      <c r="AR250" s="20"/>
      <c r="AS250" s="20"/>
      <c r="AT250" s="20"/>
      <c r="AU250" s="20"/>
      <c r="AV250" s="20"/>
      <c r="AW250" s="20"/>
      <c r="AX250" s="20"/>
      <c r="AY250" s="20"/>
      <c r="AZ250" s="20"/>
      <c r="BA250" s="20"/>
      <c r="BB250" s="20"/>
      <c r="BC250" s="20"/>
      <c r="BD250" s="20"/>
      <c r="BE250" s="20"/>
      <c r="BF250" s="20"/>
      <c r="BG250" s="20"/>
      <c r="BH250" s="20"/>
      <c r="BI250" s="20"/>
      <c r="BJ250" s="20"/>
      <c r="BK250" s="20"/>
      <c r="BL250" s="20"/>
      <c r="BM250" s="20"/>
      <c r="BN250" s="20"/>
      <c r="BO250" s="20"/>
      <c r="BP250" s="20"/>
      <c r="BQ250" s="20"/>
      <c r="BR250" s="20"/>
      <c r="BS250" s="20"/>
      <c r="BT250" s="20"/>
      <c r="BU250" s="44"/>
      <c r="BV250" s="44"/>
      <c r="BW250" s="44"/>
      <c r="BX250" s="44"/>
      <c r="BY250" s="44"/>
      <c r="BZ250" s="44"/>
      <c r="CA250" s="44"/>
      <c r="CB250" s="44"/>
      <c r="CC250" s="44"/>
      <c r="CD250" s="44"/>
      <c r="CE250" s="44"/>
      <c r="CF250" s="44"/>
      <c r="CG250" s="44"/>
      <c r="CH250" s="44"/>
      <c r="CI250" s="44"/>
      <c r="CJ250" s="44"/>
      <c r="CK250" s="44"/>
      <c r="CL250" s="44"/>
      <c r="CM250" s="44"/>
      <c r="CN250" s="44"/>
      <c r="CO250" s="44"/>
      <c r="CP250" s="44"/>
      <c r="CQ250" s="44"/>
      <c r="CR250" s="44"/>
      <c r="CS250" s="44"/>
      <c r="CT250" s="44"/>
      <c r="CU250" s="44"/>
      <c r="CV250" s="44"/>
      <c r="CW250" s="44"/>
      <c r="CX250" s="44"/>
      <c r="CY250" s="44"/>
      <c r="CZ250" s="44"/>
      <c r="DA250" s="44"/>
      <c r="DB250" s="44"/>
      <c r="DC250" s="44"/>
      <c r="DD250" s="44"/>
      <c r="DE250" s="44"/>
      <c r="DF250" s="44"/>
      <c r="DG250" s="44"/>
      <c r="DH250" s="44"/>
      <c r="DI250" s="44"/>
      <c r="DJ250" s="44"/>
      <c r="DK250" s="44"/>
      <c r="DL250" s="44"/>
      <c r="DM250" s="44"/>
      <c r="DN250" s="44"/>
      <c r="DO250" s="44"/>
      <c r="DP250" s="44"/>
      <c r="DQ250" s="44"/>
      <c r="DR250" s="44"/>
      <c r="DS250" s="44"/>
      <c r="DT250" s="44"/>
      <c r="DU250" s="44"/>
      <c r="DV250" s="44"/>
      <c r="DW250" s="44"/>
      <c r="DX250" s="44"/>
      <c r="DY250" s="44"/>
      <c r="DZ250" s="44"/>
      <c r="EA250" s="44"/>
      <c r="EB250" s="44"/>
      <c r="EC250" s="44"/>
      <c r="ED250" s="44"/>
      <c r="EE250" s="44"/>
      <c r="EF250" s="44"/>
      <c r="EG250" s="44"/>
    </row>
    <row r="251" spans="1:137">
      <c r="A251" s="14"/>
      <c r="B251" s="44"/>
      <c r="C251" s="44"/>
      <c r="D251" s="44"/>
      <c r="E251" s="44"/>
      <c r="F251" s="44"/>
      <c r="G251" s="44"/>
      <c r="H251" s="44"/>
      <c r="I251" s="44"/>
      <c r="J251" s="44"/>
      <c r="K251" s="44"/>
      <c r="L251" s="44"/>
      <c r="M251" s="44"/>
      <c r="N251" s="44"/>
      <c r="O251" s="44"/>
      <c r="P251" s="44"/>
      <c r="Q251" s="44"/>
      <c r="R251" s="44"/>
      <c r="S251" s="44"/>
      <c r="T251" s="20"/>
      <c r="U251" s="20"/>
      <c r="V251" s="20"/>
      <c r="W251" s="20"/>
      <c r="X251" s="20"/>
      <c r="Y251" s="20"/>
      <c r="Z251" s="20"/>
      <c r="AA251" s="20"/>
      <c r="AB251" s="20"/>
      <c r="AC251" s="20"/>
      <c r="AD251" s="20"/>
      <c r="AE251" s="20"/>
      <c r="AF251" s="20"/>
      <c r="AG251" s="20"/>
      <c r="AH251" s="20"/>
      <c r="AI251" s="20"/>
      <c r="AJ251" s="20"/>
      <c r="AK251" s="20"/>
      <c r="AL251" s="20"/>
      <c r="AM251" s="20"/>
      <c r="AN251" s="20"/>
      <c r="AO251" s="20"/>
      <c r="AP251" s="20"/>
      <c r="AQ251" s="20"/>
      <c r="AR251" s="20"/>
      <c r="AS251" s="20"/>
      <c r="AT251" s="20"/>
      <c r="AU251" s="20"/>
      <c r="AV251" s="20"/>
      <c r="AW251" s="20"/>
      <c r="AX251" s="20"/>
      <c r="AY251" s="20"/>
      <c r="AZ251" s="20"/>
      <c r="BA251" s="20"/>
      <c r="BB251" s="20"/>
      <c r="BC251" s="20"/>
      <c r="BD251" s="20"/>
      <c r="BE251" s="20"/>
      <c r="BF251" s="20"/>
      <c r="BG251" s="20"/>
      <c r="BH251" s="20"/>
      <c r="BI251" s="20"/>
      <c r="BJ251" s="20"/>
      <c r="BK251" s="20"/>
      <c r="BL251" s="20"/>
      <c r="BM251" s="20"/>
      <c r="BN251" s="20"/>
      <c r="BO251" s="20"/>
      <c r="BP251" s="20"/>
      <c r="BQ251" s="20"/>
      <c r="BR251" s="20"/>
      <c r="BS251" s="20"/>
      <c r="BT251" s="20"/>
      <c r="BU251" s="44"/>
      <c r="BV251" s="44"/>
      <c r="BW251" s="44"/>
      <c r="BX251" s="44"/>
      <c r="BY251" s="44"/>
      <c r="BZ251" s="44"/>
      <c r="CA251" s="44"/>
      <c r="CB251" s="44"/>
      <c r="CC251" s="44"/>
      <c r="CD251" s="44"/>
      <c r="CE251" s="44"/>
      <c r="CF251" s="44"/>
      <c r="CG251" s="44"/>
      <c r="CH251" s="44"/>
      <c r="CI251" s="44"/>
      <c r="CJ251" s="44"/>
      <c r="CK251" s="44"/>
      <c r="CL251" s="44"/>
      <c r="CM251" s="44"/>
      <c r="CN251" s="44"/>
      <c r="CO251" s="44"/>
      <c r="CP251" s="44"/>
      <c r="CQ251" s="44"/>
      <c r="CR251" s="44"/>
      <c r="CS251" s="44"/>
      <c r="CT251" s="44"/>
      <c r="CU251" s="44"/>
      <c r="CV251" s="44"/>
      <c r="CW251" s="44"/>
      <c r="CX251" s="44"/>
      <c r="CY251" s="44"/>
      <c r="CZ251" s="44"/>
      <c r="DA251" s="44"/>
      <c r="DB251" s="44"/>
      <c r="DC251" s="44"/>
      <c r="DD251" s="44"/>
      <c r="DE251" s="44"/>
      <c r="DF251" s="44"/>
      <c r="DG251" s="44"/>
      <c r="DH251" s="44"/>
      <c r="DI251" s="44"/>
      <c r="DJ251" s="44"/>
      <c r="DK251" s="44"/>
      <c r="DL251" s="44"/>
      <c r="DM251" s="44"/>
      <c r="DN251" s="44"/>
      <c r="DO251" s="44"/>
      <c r="DP251" s="44"/>
      <c r="DQ251" s="44"/>
      <c r="DR251" s="44"/>
      <c r="DS251" s="44"/>
      <c r="DT251" s="44"/>
      <c r="DU251" s="44"/>
      <c r="DV251" s="44"/>
      <c r="DW251" s="44"/>
      <c r="DX251" s="44"/>
      <c r="DY251" s="44"/>
      <c r="DZ251" s="44"/>
      <c r="EA251" s="44"/>
      <c r="EB251" s="44"/>
      <c r="EC251" s="44"/>
      <c r="ED251" s="44"/>
      <c r="EE251" s="44"/>
      <c r="EF251" s="44"/>
      <c r="EG251" s="44"/>
    </row>
    <row r="252" spans="1:137">
      <c r="A252" s="14"/>
      <c r="B252" s="44"/>
      <c r="C252" s="44"/>
      <c r="D252" s="44"/>
      <c r="E252" s="44"/>
      <c r="F252" s="44"/>
      <c r="G252" s="44"/>
      <c r="H252" s="44"/>
      <c r="I252" s="44"/>
      <c r="J252" s="44"/>
      <c r="K252" s="44"/>
      <c r="L252" s="44"/>
      <c r="M252" s="44"/>
      <c r="N252" s="44"/>
      <c r="O252" s="44"/>
      <c r="P252" s="44"/>
      <c r="Q252" s="44"/>
      <c r="R252" s="44"/>
      <c r="S252" s="44"/>
      <c r="T252" s="20"/>
      <c r="U252" s="20"/>
      <c r="V252" s="20"/>
      <c r="W252" s="20"/>
      <c r="X252" s="20"/>
      <c r="Y252" s="20"/>
      <c r="Z252" s="20"/>
      <c r="AA252" s="20"/>
      <c r="AB252" s="20"/>
      <c r="AC252" s="20"/>
      <c r="AD252" s="20"/>
      <c r="AE252" s="20"/>
      <c r="AF252" s="20"/>
      <c r="AG252" s="20"/>
      <c r="AH252" s="20"/>
      <c r="AI252" s="20"/>
      <c r="AJ252" s="20"/>
      <c r="AK252" s="20"/>
      <c r="AL252" s="20"/>
      <c r="AM252" s="20"/>
      <c r="AN252" s="20"/>
      <c r="AO252" s="20"/>
      <c r="AP252" s="20"/>
      <c r="AQ252" s="20"/>
      <c r="AR252" s="20"/>
      <c r="AS252" s="20"/>
      <c r="AT252" s="20"/>
      <c r="AU252" s="20"/>
      <c r="AV252" s="20"/>
      <c r="AW252" s="20"/>
      <c r="AX252" s="20"/>
      <c r="AY252" s="20"/>
      <c r="AZ252" s="20"/>
      <c r="BA252" s="20"/>
      <c r="BB252" s="20"/>
      <c r="BC252" s="20"/>
      <c r="BD252" s="20"/>
      <c r="BE252" s="20"/>
      <c r="BF252" s="20"/>
      <c r="BG252" s="20"/>
      <c r="BH252" s="20"/>
      <c r="BI252" s="20"/>
      <c r="BJ252" s="20"/>
      <c r="BK252" s="20"/>
      <c r="BL252" s="20"/>
      <c r="BM252" s="20"/>
      <c r="BN252" s="20"/>
      <c r="BO252" s="20"/>
      <c r="BP252" s="20"/>
      <c r="BQ252" s="20"/>
      <c r="BR252" s="20"/>
      <c r="BS252" s="20"/>
      <c r="BT252" s="20"/>
      <c r="BU252" s="44"/>
      <c r="BV252" s="44"/>
      <c r="BW252" s="44"/>
      <c r="BX252" s="44"/>
      <c r="BY252" s="44"/>
      <c r="BZ252" s="44"/>
      <c r="CA252" s="44"/>
      <c r="CB252" s="44"/>
      <c r="CC252" s="44"/>
      <c r="CD252" s="44"/>
      <c r="CE252" s="44"/>
      <c r="CF252" s="44"/>
      <c r="CG252" s="44"/>
      <c r="CH252" s="44"/>
      <c r="CI252" s="44"/>
      <c r="CJ252" s="44"/>
      <c r="CK252" s="44"/>
      <c r="CL252" s="44"/>
      <c r="CM252" s="44"/>
      <c r="CN252" s="44"/>
      <c r="CO252" s="44"/>
      <c r="CP252" s="44"/>
      <c r="CQ252" s="44"/>
      <c r="CR252" s="44"/>
      <c r="CS252" s="44"/>
      <c r="CT252" s="44"/>
      <c r="CU252" s="44"/>
      <c r="CV252" s="44"/>
      <c r="CW252" s="44"/>
      <c r="CX252" s="44"/>
      <c r="CY252" s="44"/>
      <c r="CZ252" s="44"/>
      <c r="DA252" s="44"/>
      <c r="DB252" s="44"/>
      <c r="DC252" s="44"/>
      <c r="DD252" s="44"/>
      <c r="DE252" s="44"/>
      <c r="DF252" s="44"/>
      <c r="DG252" s="44"/>
      <c r="DH252" s="44"/>
      <c r="DI252" s="44"/>
      <c r="DJ252" s="44"/>
      <c r="DK252" s="44"/>
      <c r="DL252" s="44"/>
      <c r="DM252" s="44"/>
      <c r="DN252" s="44"/>
      <c r="DO252" s="44"/>
      <c r="DP252" s="44"/>
      <c r="DQ252" s="44"/>
      <c r="DR252" s="44"/>
      <c r="DS252" s="44"/>
      <c r="DT252" s="44"/>
      <c r="DU252" s="44"/>
      <c r="DV252" s="44"/>
      <c r="DW252" s="44"/>
      <c r="DX252" s="44"/>
      <c r="DY252" s="44"/>
      <c r="DZ252" s="44"/>
      <c r="EA252" s="44"/>
      <c r="EB252" s="44"/>
      <c r="EC252" s="44"/>
      <c r="ED252" s="44"/>
      <c r="EE252" s="44"/>
      <c r="EF252" s="44"/>
      <c r="EG252" s="44"/>
    </row>
    <row r="253" spans="1:137">
      <c r="A253" s="14"/>
      <c r="B253" s="44"/>
      <c r="C253" s="44"/>
      <c r="D253" s="44"/>
      <c r="E253" s="44"/>
      <c r="F253" s="44"/>
      <c r="G253" s="44"/>
      <c r="H253" s="44"/>
      <c r="I253" s="44"/>
      <c r="J253" s="44"/>
      <c r="K253" s="44"/>
      <c r="L253" s="44"/>
      <c r="M253" s="44"/>
      <c r="N253" s="44"/>
      <c r="O253" s="44"/>
      <c r="P253" s="44"/>
      <c r="Q253" s="44"/>
      <c r="R253" s="44"/>
      <c r="S253" s="44"/>
      <c r="T253" s="20"/>
      <c r="U253" s="20"/>
      <c r="V253" s="20"/>
      <c r="W253" s="20"/>
      <c r="X253" s="20"/>
      <c r="Y253" s="20"/>
      <c r="Z253" s="20"/>
      <c r="AA253" s="20"/>
      <c r="AB253" s="20"/>
      <c r="AC253" s="20"/>
      <c r="AD253" s="20"/>
      <c r="AE253" s="20"/>
      <c r="AF253" s="20"/>
      <c r="AG253" s="20"/>
      <c r="AH253" s="20"/>
      <c r="AI253" s="20"/>
      <c r="AJ253" s="20"/>
      <c r="AK253" s="20"/>
      <c r="AL253" s="20"/>
      <c r="AM253" s="20"/>
      <c r="AN253" s="20"/>
      <c r="AO253" s="20"/>
      <c r="AP253" s="20"/>
      <c r="AQ253" s="20"/>
      <c r="AR253" s="20"/>
      <c r="AS253" s="20"/>
      <c r="AT253" s="20"/>
      <c r="AU253" s="20"/>
      <c r="AV253" s="20"/>
      <c r="AW253" s="20"/>
      <c r="AX253" s="20"/>
      <c r="AY253" s="20"/>
      <c r="AZ253" s="20"/>
      <c r="BA253" s="20"/>
      <c r="BB253" s="20"/>
      <c r="BC253" s="20"/>
      <c r="BD253" s="20"/>
      <c r="BE253" s="20"/>
      <c r="BF253" s="20"/>
      <c r="BG253" s="20"/>
      <c r="BH253" s="20"/>
      <c r="BI253" s="20"/>
      <c r="BJ253" s="20"/>
      <c r="BK253" s="20"/>
      <c r="BL253" s="20"/>
      <c r="BM253" s="20"/>
      <c r="BN253" s="20"/>
      <c r="BO253" s="20"/>
      <c r="BP253" s="20"/>
      <c r="BQ253" s="20"/>
      <c r="BR253" s="20"/>
      <c r="BS253" s="20"/>
      <c r="BT253" s="20"/>
      <c r="BU253" s="44"/>
      <c r="BV253" s="44"/>
      <c r="BW253" s="44"/>
      <c r="BX253" s="44"/>
      <c r="BY253" s="44"/>
      <c r="BZ253" s="44"/>
      <c r="CA253" s="44"/>
      <c r="CB253" s="44"/>
      <c r="CC253" s="44"/>
      <c r="CD253" s="44"/>
      <c r="CE253" s="44"/>
      <c r="CF253" s="44"/>
      <c r="CG253" s="44"/>
      <c r="CH253" s="44"/>
      <c r="CI253" s="44"/>
      <c r="CJ253" s="44"/>
      <c r="CK253" s="44"/>
      <c r="CL253" s="44"/>
      <c r="CM253" s="44"/>
      <c r="CN253" s="44"/>
      <c r="CO253" s="44"/>
      <c r="CP253" s="44"/>
      <c r="CQ253" s="44"/>
      <c r="CR253" s="44"/>
      <c r="CS253" s="44"/>
      <c r="CT253" s="44"/>
      <c r="CU253" s="44"/>
      <c r="CV253" s="44"/>
      <c r="CW253" s="44"/>
      <c r="CX253" s="44"/>
      <c r="CY253" s="44"/>
      <c r="CZ253" s="44"/>
      <c r="DA253" s="44"/>
      <c r="DB253" s="44"/>
      <c r="DC253" s="44"/>
      <c r="DD253" s="44"/>
      <c r="DE253" s="44"/>
      <c r="DF253" s="44"/>
      <c r="DG253" s="44"/>
      <c r="DH253" s="44"/>
      <c r="DI253" s="44"/>
      <c r="DJ253" s="44"/>
      <c r="DK253" s="44"/>
      <c r="DL253" s="44"/>
      <c r="DM253" s="44"/>
      <c r="DN253" s="44"/>
      <c r="DO253" s="44"/>
      <c r="DP253" s="44"/>
      <c r="DQ253" s="44"/>
      <c r="DR253" s="44"/>
      <c r="DS253" s="44"/>
      <c r="DT253" s="44"/>
      <c r="DU253" s="44"/>
      <c r="DV253" s="44"/>
      <c r="DW253" s="44"/>
      <c r="DX253" s="44"/>
      <c r="DY253" s="44"/>
      <c r="DZ253" s="44"/>
      <c r="EA253" s="44"/>
      <c r="EB253" s="44"/>
      <c r="EC253" s="44"/>
      <c r="ED253" s="44"/>
      <c r="EE253" s="44"/>
      <c r="EF253" s="44"/>
      <c r="EG253" s="44"/>
    </row>
    <row r="254" spans="1:137">
      <c r="A254" s="14"/>
      <c r="B254" s="44"/>
      <c r="C254" s="44"/>
      <c r="D254" s="44"/>
      <c r="E254" s="44"/>
      <c r="F254" s="44"/>
      <c r="G254" s="44"/>
      <c r="H254" s="44"/>
      <c r="I254" s="44"/>
      <c r="J254" s="44"/>
      <c r="K254" s="44"/>
      <c r="L254" s="44"/>
      <c r="M254" s="44"/>
      <c r="N254" s="44"/>
      <c r="O254" s="44"/>
      <c r="P254" s="44"/>
      <c r="Q254" s="44"/>
      <c r="R254" s="44"/>
      <c r="S254" s="44"/>
      <c r="T254" s="20"/>
      <c r="U254" s="20"/>
      <c r="V254" s="20"/>
      <c r="W254" s="20"/>
      <c r="X254" s="20"/>
      <c r="Y254" s="26"/>
      <c r="Z254" s="20"/>
      <c r="AA254" s="20"/>
      <c r="AB254" s="20"/>
      <c r="AC254" s="20"/>
      <c r="AD254" s="20"/>
      <c r="AE254" s="20"/>
      <c r="AF254" s="20"/>
      <c r="AG254" s="20"/>
      <c r="AH254" s="20"/>
      <c r="AI254" s="20"/>
      <c r="AJ254" s="20"/>
      <c r="AK254" s="20"/>
      <c r="AL254" s="20"/>
      <c r="AM254" s="20"/>
      <c r="AN254" s="20"/>
      <c r="AO254" s="20"/>
      <c r="AP254" s="20"/>
      <c r="AQ254" s="20"/>
      <c r="AR254" s="20"/>
      <c r="AS254" s="20"/>
      <c r="AT254" s="20"/>
      <c r="AU254" s="20"/>
      <c r="AV254" s="20"/>
      <c r="AW254" s="20"/>
      <c r="AX254" s="20"/>
      <c r="AY254" s="20"/>
      <c r="AZ254" s="20"/>
      <c r="BA254" s="20"/>
      <c r="BB254" s="20"/>
      <c r="BC254" s="20"/>
      <c r="BD254" s="20"/>
      <c r="BE254" s="20"/>
      <c r="BF254" s="20"/>
      <c r="BG254" s="20"/>
      <c r="BH254" s="20"/>
      <c r="BI254" s="20"/>
      <c r="BJ254" s="20"/>
      <c r="BK254" s="20"/>
      <c r="BL254" s="20"/>
      <c r="BM254" s="20"/>
      <c r="BN254" s="20"/>
      <c r="BO254" s="20"/>
      <c r="BP254" s="20"/>
      <c r="BQ254" s="20"/>
      <c r="BR254" s="20"/>
      <c r="BS254" s="20"/>
      <c r="BT254" s="20"/>
      <c r="BU254" s="44"/>
      <c r="BV254" s="44"/>
      <c r="BW254" s="44"/>
      <c r="BX254" s="44"/>
      <c r="BY254" s="44"/>
      <c r="BZ254" s="44"/>
      <c r="CA254" s="44"/>
      <c r="CB254" s="44"/>
      <c r="CC254" s="44"/>
      <c r="CD254" s="44"/>
      <c r="CE254" s="44"/>
      <c r="CF254" s="44"/>
      <c r="CG254" s="44"/>
      <c r="CH254" s="44"/>
      <c r="CI254" s="44"/>
      <c r="CJ254" s="44"/>
      <c r="CK254" s="44"/>
      <c r="CL254" s="44"/>
      <c r="CM254" s="44"/>
      <c r="CN254" s="44"/>
      <c r="CO254" s="44"/>
      <c r="CP254" s="44"/>
      <c r="CQ254" s="44"/>
      <c r="CR254" s="44"/>
      <c r="CS254" s="44"/>
      <c r="CT254" s="44"/>
      <c r="CU254" s="44"/>
      <c r="CV254" s="44"/>
      <c r="CW254" s="44"/>
      <c r="CX254" s="44"/>
      <c r="CY254" s="44"/>
      <c r="CZ254" s="44"/>
      <c r="DA254" s="44"/>
      <c r="DB254" s="44"/>
      <c r="DC254" s="44"/>
      <c r="DD254" s="44"/>
      <c r="DE254" s="44"/>
      <c r="DF254" s="44"/>
      <c r="DG254" s="44"/>
      <c r="DH254" s="44"/>
      <c r="DI254" s="44"/>
      <c r="DJ254" s="44"/>
      <c r="DK254" s="44"/>
      <c r="DL254" s="44"/>
      <c r="DM254" s="44"/>
      <c r="DN254" s="44"/>
      <c r="DO254" s="44"/>
      <c r="DP254" s="44"/>
      <c r="DQ254" s="44"/>
      <c r="DR254" s="44"/>
      <c r="DS254" s="44"/>
      <c r="DT254" s="44"/>
      <c r="DU254" s="44"/>
      <c r="DV254" s="44"/>
      <c r="DW254" s="44"/>
      <c r="DX254" s="44"/>
      <c r="DY254" s="44"/>
      <c r="DZ254" s="44"/>
      <c r="EA254" s="44"/>
      <c r="EB254" s="44"/>
      <c r="EC254" s="44"/>
      <c r="ED254" s="44"/>
      <c r="EE254" s="44"/>
      <c r="EF254" s="44"/>
      <c r="EG254" s="44"/>
    </row>
    <row r="255" spans="1:137">
      <c r="A255" s="14"/>
      <c r="B255" s="44"/>
      <c r="C255" s="44"/>
      <c r="D255" s="44"/>
      <c r="E255" s="44"/>
      <c r="F255" s="44"/>
      <c r="G255" s="44"/>
      <c r="H255" s="44"/>
      <c r="I255" s="44"/>
      <c r="J255" s="44"/>
      <c r="K255" s="44"/>
      <c r="L255" s="44"/>
      <c r="M255" s="44"/>
      <c r="N255" s="44"/>
      <c r="O255" s="44"/>
      <c r="P255" s="44"/>
      <c r="Q255" s="44"/>
      <c r="R255" s="44"/>
      <c r="S255" s="44"/>
      <c r="T255" s="20"/>
      <c r="U255" s="20"/>
      <c r="V255" s="20"/>
      <c r="W255" s="20"/>
      <c r="X255" s="20"/>
      <c r="Y255" s="26"/>
      <c r="Z255" s="20"/>
      <c r="AA255" s="20"/>
      <c r="AB255" s="20"/>
      <c r="AC255" s="20"/>
      <c r="AD255" s="20"/>
      <c r="AE255" s="20"/>
      <c r="AF255" s="20"/>
      <c r="AG255" s="20"/>
      <c r="AH255" s="20"/>
      <c r="AI255" s="20"/>
      <c r="AJ255" s="20"/>
      <c r="AK255" s="20"/>
      <c r="AL255" s="20"/>
      <c r="AM255" s="20"/>
      <c r="AN255" s="20"/>
      <c r="AO255" s="20"/>
      <c r="AP255" s="20"/>
      <c r="AQ255" s="20"/>
      <c r="AR255" s="20"/>
      <c r="AS255" s="20"/>
      <c r="AT255" s="20"/>
      <c r="AU255" s="20"/>
      <c r="AV255" s="20"/>
      <c r="AW255" s="20"/>
      <c r="AX255" s="20"/>
      <c r="AY255" s="20"/>
      <c r="AZ255" s="20"/>
      <c r="BA255" s="20"/>
      <c r="BB255" s="20"/>
      <c r="BC255" s="20"/>
      <c r="BD255" s="20"/>
      <c r="BE255" s="20"/>
      <c r="BF255" s="20"/>
      <c r="BG255" s="20"/>
      <c r="BH255" s="20"/>
      <c r="BI255" s="20"/>
      <c r="BJ255" s="20"/>
      <c r="BK255" s="20"/>
      <c r="BL255" s="20"/>
      <c r="BM255" s="20"/>
      <c r="BN255" s="20"/>
      <c r="BO255" s="20"/>
      <c r="BP255" s="20"/>
      <c r="BQ255" s="20"/>
      <c r="BR255" s="20"/>
      <c r="BS255" s="20"/>
      <c r="BT255" s="20"/>
      <c r="BU255" s="44"/>
      <c r="BV255" s="44"/>
      <c r="BW255" s="44"/>
      <c r="BX255" s="44"/>
      <c r="BY255" s="44"/>
      <c r="BZ255" s="44"/>
      <c r="CA255" s="44"/>
      <c r="CB255" s="44"/>
      <c r="CC255" s="44"/>
      <c r="CD255" s="44"/>
      <c r="CE255" s="44"/>
      <c r="CF255" s="44"/>
      <c r="CG255" s="44"/>
      <c r="CH255" s="44"/>
      <c r="CI255" s="44"/>
      <c r="CJ255" s="44"/>
      <c r="CK255" s="44"/>
      <c r="CL255" s="44"/>
      <c r="CM255" s="44"/>
      <c r="CN255" s="44"/>
      <c r="CO255" s="44"/>
      <c r="CP255" s="44"/>
      <c r="CQ255" s="44"/>
      <c r="CR255" s="44"/>
      <c r="CS255" s="44"/>
      <c r="CT255" s="44"/>
      <c r="CU255" s="44"/>
      <c r="CV255" s="44"/>
      <c r="CW255" s="44"/>
      <c r="CX255" s="44"/>
      <c r="CY255" s="44"/>
      <c r="CZ255" s="44"/>
      <c r="DA255" s="44"/>
      <c r="DB255" s="44"/>
      <c r="DC255" s="44"/>
      <c r="DD255" s="44"/>
      <c r="DE255" s="44"/>
      <c r="DF255" s="44"/>
      <c r="DG255" s="44"/>
      <c r="DH255" s="44"/>
      <c r="DI255" s="44"/>
      <c r="DJ255" s="44"/>
      <c r="DK255" s="44"/>
      <c r="DL255" s="44"/>
      <c r="DM255" s="44"/>
      <c r="DN255" s="44"/>
      <c r="DO255" s="44"/>
      <c r="DP255" s="44"/>
      <c r="DQ255" s="44"/>
      <c r="DR255" s="44"/>
      <c r="DS255" s="44"/>
      <c r="DT255" s="44"/>
      <c r="DU255" s="44"/>
      <c r="DV255" s="44"/>
      <c r="DW255" s="44"/>
      <c r="DX255" s="44"/>
      <c r="DY255" s="44"/>
      <c r="DZ255" s="44"/>
      <c r="EA255" s="44"/>
      <c r="EB255" s="44"/>
      <c r="EC255" s="44"/>
      <c r="ED255" s="44"/>
      <c r="EE255" s="44"/>
      <c r="EF255" s="44"/>
      <c r="EG255" s="44"/>
    </row>
    <row r="256" spans="1:137">
      <c r="A256" s="14"/>
      <c r="B256" s="44"/>
      <c r="C256" s="44"/>
      <c r="D256" s="44"/>
      <c r="E256" s="44"/>
      <c r="F256" s="44"/>
      <c r="G256" s="44"/>
      <c r="H256" s="44"/>
      <c r="I256" s="44"/>
      <c r="J256" s="44"/>
      <c r="K256" s="44"/>
      <c r="L256" s="44"/>
      <c r="M256" s="44"/>
      <c r="N256" s="44"/>
      <c r="O256" s="44"/>
      <c r="P256" s="44"/>
      <c r="Q256" s="44"/>
      <c r="R256" s="44"/>
      <c r="S256" s="44"/>
      <c r="T256" s="20"/>
      <c r="U256" s="20"/>
      <c r="V256" s="20"/>
      <c r="W256" s="20"/>
      <c r="X256" s="20"/>
      <c r="Y256" s="27"/>
      <c r="Z256" s="27"/>
      <c r="AA256" s="27"/>
      <c r="AB256" s="27"/>
      <c r="AC256" s="27"/>
      <c r="AD256" s="27"/>
      <c r="AE256" s="20"/>
      <c r="AF256" s="20"/>
      <c r="AG256" s="20"/>
      <c r="AH256" s="20"/>
      <c r="AI256" s="20"/>
      <c r="AJ256" s="20"/>
      <c r="AK256" s="20"/>
      <c r="AL256" s="20"/>
      <c r="AM256" s="20"/>
      <c r="AN256" s="20"/>
      <c r="AO256" s="20"/>
      <c r="AP256" s="20"/>
      <c r="AQ256" s="20"/>
      <c r="AR256" s="20"/>
      <c r="AS256" s="20"/>
      <c r="AT256" s="20"/>
      <c r="AU256" s="20"/>
      <c r="AV256" s="20"/>
      <c r="AW256" s="20"/>
      <c r="AX256" s="20"/>
      <c r="AY256" s="20"/>
      <c r="AZ256" s="20"/>
      <c r="BA256" s="20"/>
      <c r="BB256" s="20"/>
      <c r="BC256" s="20"/>
      <c r="BD256" s="20"/>
      <c r="BE256" s="20"/>
      <c r="BF256" s="20"/>
      <c r="BG256" s="20"/>
      <c r="BH256" s="20"/>
      <c r="BI256" s="20"/>
      <c r="BJ256" s="20"/>
      <c r="BK256" s="20"/>
      <c r="BL256" s="20"/>
      <c r="BM256" s="20"/>
      <c r="BN256" s="20"/>
      <c r="BO256" s="20"/>
      <c r="BP256" s="20"/>
      <c r="BQ256" s="20"/>
      <c r="BR256" s="20"/>
      <c r="BS256" s="20"/>
      <c r="BT256" s="20"/>
      <c r="BU256" s="44"/>
      <c r="BV256" s="44"/>
      <c r="BW256" s="44"/>
      <c r="BX256" s="44"/>
      <c r="BY256" s="44"/>
      <c r="BZ256" s="44"/>
      <c r="CA256" s="44"/>
      <c r="CB256" s="44"/>
      <c r="CC256" s="44"/>
      <c r="CD256" s="44"/>
      <c r="CE256" s="44"/>
      <c r="CF256" s="44"/>
      <c r="CG256" s="44"/>
      <c r="CH256" s="44"/>
      <c r="CI256" s="44"/>
      <c r="CJ256" s="44"/>
      <c r="CK256" s="44"/>
      <c r="CL256" s="44"/>
      <c r="CM256" s="44"/>
      <c r="CN256" s="44"/>
      <c r="CO256" s="44"/>
      <c r="CP256" s="44"/>
      <c r="CQ256" s="44"/>
      <c r="CR256" s="44"/>
      <c r="CS256" s="44"/>
      <c r="CT256" s="44"/>
      <c r="CU256" s="44"/>
      <c r="CV256" s="44"/>
      <c r="CW256" s="44"/>
      <c r="CX256" s="44"/>
      <c r="CY256" s="44"/>
      <c r="CZ256" s="44"/>
      <c r="DA256" s="44"/>
      <c r="DB256" s="44"/>
      <c r="DC256" s="44"/>
      <c r="DD256" s="44"/>
      <c r="DE256" s="44"/>
      <c r="DF256" s="44"/>
      <c r="DG256" s="44"/>
      <c r="DH256" s="44"/>
      <c r="DI256" s="44"/>
      <c r="DJ256" s="44"/>
      <c r="DK256" s="44"/>
      <c r="DL256" s="44"/>
      <c r="DM256" s="44"/>
      <c r="DN256" s="44"/>
      <c r="DO256" s="44"/>
      <c r="DP256" s="44"/>
      <c r="DQ256" s="44"/>
      <c r="DR256" s="44"/>
      <c r="DS256" s="44"/>
      <c r="DT256" s="44"/>
      <c r="DU256" s="44"/>
      <c r="DV256" s="44"/>
      <c r="DW256" s="44"/>
      <c r="DX256" s="44"/>
      <c r="DY256" s="44"/>
      <c r="DZ256" s="44"/>
      <c r="EA256" s="44"/>
      <c r="EB256" s="44"/>
      <c r="EC256" s="44"/>
      <c r="ED256" s="44"/>
      <c r="EE256" s="44"/>
      <c r="EF256" s="44"/>
      <c r="EG256" s="44"/>
    </row>
    <row r="257" spans="1:137">
      <c r="A257" s="14"/>
      <c r="B257" s="44"/>
      <c r="C257" s="44"/>
      <c r="D257" s="44"/>
      <c r="E257" s="44"/>
      <c r="F257" s="44"/>
      <c r="G257" s="44"/>
      <c r="H257" s="44"/>
      <c r="I257" s="44"/>
      <c r="J257" s="44"/>
      <c r="K257" s="44"/>
      <c r="L257" s="44"/>
      <c r="M257" s="44"/>
      <c r="N257" s="44"/>
      <c r="O257" s="44"/>
      <c r="P257" s="44"/>
      <c r="Q257" s="44"/>
      <c r="R257" s="44"/>
      <c r="S257" s="44"/>
      <c r="T257" s="20"/>
      <c r="U257" s="20"/>
      <c r="V257" s="20"/>
      <c r="W257" s="20"/>
      <c r="X257" s="20"/>
      <c r="Y257" s="27"/>
      <c r="Z257" s="27"/>
      <c r="AA257" s="27"/>
      <c r="AB257" s="27"/>
      <c r="AC257" s="27"/>
      <c r="AD257" s="27"/>
      <c r="AE257" s="20"/>
      <c r="AF257" s="20"/>
      <c r="AG257" s="20"/>
      <c r="AH257" s="20"/>
      <c r="AI257" s="20"/>
      <c r="AJ257" s="20"/>
      <c r="AK257" s="20"/>
      <c r="AL257" s="20"/>
      <c r="AM257" s="20"/>
      <c r="AN257" s="20"/>
      <c r="AO257" s="20"/>
      <c r="AP257" s="20"/>
      <c r="AQ257" s="20"/>
      <c r="AR257" s="20"/>
      <c r="AS257" s="20"/>
      <c r="AT257" s="20"/>
      <c r="AU257" s="20"/>
      <c r="AV257" s="20"/>
      <c r="AW257" s="20"/>
      <c r="AX257" s="20"/>
      <c r="AY257" s="20"/>
      <c r="AZ257" s="20"/>
      <c r="BA257" s="20"/>
      <c r="BB257" s="20"/>
      <c r="BC257" s="20"/>
      <c r="BD257" s="20"/>
      <c r="BE257" s="20"/>
      <c r="BF257" s="20"/>
      <c r="BG257" s="20"/>
      <c r="BH257" s="20"/>
      <c r="BI257" s="20"/>
      <c r="BJ257" s="20"/>
      <c r="BK257" s="20"/>
      <c r="BL257" s="20"/>
      <c r="BM257" s="20"/>
      <c r="BN257" s="20"/>
      <c r="BO257" s="20"/>
      <c r="BP257" s="20"/>
      <c r="BQ257" s="20"/>
      <c r="BR257" s="20"/>
      <c r="BS257" s="20"/>
      <c r="BT257" s="20"/>
      <c r="BU257" s="44"/>
      <c r="BV257" s="44"/>
      <c r="BW257" s="44"/>
      <c r="BX257" s="44"/>
      <c r="BY257" s="44"/>
      <c r="BZ257" s="44"/>
      <c r="CA257" s="44"/>
      <c r="CB257" s="44"/>
      <c r="CC257" s="44"/>
      <c r="CD257" s="44"/>
      <c r="CE257" s="44"/>
      <c r="CF257" s="44"/>
      <c r="CG257" s="44"/>
      <c r="CH257" s="44"/>
      <c r="CI257" s="44"/>
      <c r="CJ257" s="44"/>
      <c r="CK257" s="44"/>
      <c r="CL257" s="44"/>
      <c r="CM257" s="44"/>
      <c r="CN257" s="44"/>
      <c r="CO257" s="44"/>
      <c r="CP257" s="44"/>
      <c r="CQ257" s="44"/>
      <c r="CR257" s="44"/>
      <c r="CS257" s="44"/>
      <c r="CT257" s="44"/>
      <c r="CU257" s="44"/>
      <c r="CV257" s="44"/>
      <c r="CW257" s="44"/>
      <c r="CX257" s="44"/>
      <c r="CY257" s="44"/>
      <c r="CZ257" s="44"/>
      <c r="DA257" s="44"/>
      <c r="DB257" s="44"/>
      <c r="DC257" s="44"/>
      <c r="DD257" s="44"/>
      <c r="DE257" s="44"/>
      <c r="DF257" s="44"/>
      <c r="DG257" s="44"/>
      <c r="DH257" s="44"/>
      <c r="DI257" s="44"/>
      <c r="DJ257" s="44"/>
      <c r="DK257" s="44"/>
      <c r="DL257" s="44"/>
      <c r="DM257" s="44"/>
      <c r="DN257" s="44"/>
      <c r="DO257" s="44"/>
      <c r="DP257" s="44"/>
      <c r="DQ257" s="44"/>
      <c r="DR257" s="44"/>
      <c r="DS257" s="44"/>
      <c r="DT257" s="44"/>
      <c r="DU257" s="44"/>
      <c r="DV257" s="44"/>
      <c r="DW257" s="44"/>
      <c r="DX257" s="44"/>
      <c r="DY257" s="44"/>
      <c r="DZ257" s="44"/>
      <c r="EA257" s="44"/>
      <c r="EB257" s="44"/>
      <c r="EC257" s="44"/>
      <c r="ED257" s="44"/>
      <c r="EE257" s="44"/>
      <c r="EF257" s="44"/>
      <c r="EG257" s="44"/>
    </row>
    <row r="258" spans="1:137">
      <c r="A258" s="14"/>
      <c r="B258" s="44"/>
      <c r="C258" s="44"/>
      <c r="D258" s="44"/>
      <c r="E258" s="44"/>
      <c r="F258" s="44"/>
      <c r="G258" s="44"/>
      <c r="H258" s="44"/>
      <c r="I258" s="44"/>
      <c r="J258" s="44"/>
      <c r="K258" s="44"/>
      <c r="L258" s="44"/>
      <c r="M258" s="44"/>
      <c r="N258" s="44"/>
      <c r="O258" s="44"/>
      <c r="P258" s="44"/>
      <c r="Q258" s="44"/>
      <c r="R258" s="44"/>
      <c r="S258" s="44"/>
      <c r="T258" s="20"/>
      <c r="U258" s="20"/>
      <c r="V258" s="20"/>
      <c r="W258" s="20"/>
      <c r="X258" s="20"/>
      <c r="Y258" s="27"/>
      <c r="Z258" s="27"/>
      <c r="AA258" s="27"/>
      <c r="AB258" s="27"/>
      <c r="AC258" s="27"/>
      <c r="AD258" s="27"/>
      <c r="AE258" s="20"/>
      <c r="AF258" s="20"/>
      <c r="AG258" s="20"/>
      <c r="AH258" s="20"/>
      <c r="AI258" s="20"/>
      <c r="AJ258" s="20"/>
      <c r="AK258" s="20"/>
      <c r="AL258" s="20"/>
      <c r="AM258" s="20"/>
      <c r="AN258" s="20"/>
      <c r="AO258" s="20"/>
      <c r="AP258" s="20"/>
      <c r="AQ258" s="20"/>
      <c r="AR258" s="20"/>
      <c r="AS258" s="20"/>
      <c r="AT258" s="20"/>
      <c r="AU258" s="20"/>
      <c r="AV258" s="20"/>
      <c r="AW258" s="20"/>
      <c r="AX258" s="20"/>
      <c r="AY258" s="20"/>
      <c r="AZ258" s="20"/>
      <c r="BA258" s="20"/>
      <c r="BB258" s="20"/>
      <c r="BC258" s="20"/>
      <c r="BD258" s="20"/>
      <c r="BE258" s="20"/>
      <c r="BF258" s="20"/>
      <c r="BG258" s="20"/>
      <c r="BH258" s="20"/>
      <c r="BI258" s="20"/>
      <c r="BJ258" s="20"/>
      <c r="BK258" s="20"/>
      <c r="BL258" s="20"/>
      <c r="BM258" s="20"/>
      <c r="BN258" s="20"/>
      <c r="BO258" s="20"/>
      <c r="BP258" s="20"/>
      <c r="BQ258" s="20"/>
      <c r="BR258" s="20"/>
      <c r="BS258" s="20"/>
      <c r="BT258" s="20"/>
      <c r="BU258" s="44"/>
      <c r="BV258" s="44"/>
      <c r="BW258" s="44"/>
      <c r="BX258" s="44"/>
      <c r="BY258" s="44"/>
      <c r="BZ258" s="44"/>
      <c r="CA258" s="44"/>
      <c r="CB258" s="44"/>
      <c r="CC258" s="44"/>
      <c r="CD258" s="44"/>
      <c r="CE258" s="44"/>
      <c r="CF258" s="44"/>
      <c r="CG258" s="44"/>
      <c r="CH258" s="44"/>
      <c r="CI258" s="44"/>
      <c r="CJ258" s="44"/>
      <c r="CK258" s="44"/>
      <c r="CL258" s="44"/>
      <c r="CM258" s="44"/>
      <c r="CN258" s="44"/>
      <c r="CO258" s="44"/>
      <c r="CP258" s="44"/>
      <c r="CQ258" s="44"/>
      <c r="CR258" s="44"/>
      <c r="CS258" s="44"/>
      <c r="CT258" s="44"/>
      <c r="CU258" s="44"/>
      <c r="CV258" s="44"/>
      <c r="CW258" s="44"/>
      <c r="CX258" s="44"/>
      <c r="CY258" s="44"/>
      <c r="CZ258" s="44"/>
      <c r="DA258" s="44"/>
      <c r="DB258" s="44"/>
      <c r="DC258" s="44"/>
      <c r="DD258" s="44"/>
      <c r="DE258" s="44"/>
      <c r="DF258" s="44"/>
      <c r="DG258" s="44"/>
      <c r="DH258" s="44"/>
      <c r="DI258" s="44"/>
      <c r="DJ258" s="44"/>
      <c r="DK258" s="44"/>
      <c r="DL258" s="44"/>
      <c r="DM258" s="44"/>
      <c r="DN258" s="44"/>
      <c r="DO258" s="44"/>
      <c r="DP258" s="44"/>
      <c r="DQ258" s="44"/>
      <c r="DR258" s="44"/>
      <c r="DS258" s="44"/>
      <c r="DT258" s="44"/>
      <c r="DU258" s="44"/>
      <c r="DV258" s="44"/>
      <c r="DW258" s="44"/>
      <c r="DX258" s="44"/>
      <c r="DY258" s="44"/>
      <c r="DZ258" s="44"/>
      <c r="EA258" s="44"/>
      <c r="EB258" s="44"/>
      <c r="EC258" s="44"/>
      <c r="ED258" s="44"/>
      <c r="EE258" s="44"/>
      <c r="EF258" s="44"/>
      <c r="EG258" s="44"/>
    </row>
    <row r="259" spans="1:137">
      <c r="A259" s="14"/>
      <c r="B259" s="44"/>
      <c r="C259" s="44"/>
      <c r="D259" s="44"/>
      <c r="E259" s="44"/>
      <c r="F259" s="44"/>
      <c r="G259" s="44"/>
      <c r="H259" s="44"/>
      <c r="I259" s="44"/>
      <c r="J259" s="44"/>
      <c r="K259" s="44"/>
      <c r="L259" s="44"/>
      <c r="M259" s="44"/>
      <c r="N259" s="44"/>
      <c r="O259" s="44"/>
      <c r="P259" s="44"/>
      <c r="Q259" s="44"/>
      <c r="R259" s="44"/>
      <c r="S259" s="44"/>
      <c r="T259" s="20"/>
      <c r="U259" s="20"/>
      <c r="V259" s="20"/>
      <c r="W259" s="20"/>
      <c r="X259" s="20"/>
      <c r="Y259" s="27"/>
      <c r="Z259" s="27"/>
      <c r="AA259" s="27"/>
      <c r="AB259" s="27"/>
      <c r="AC259" s="27"/>
      <c r="AD259" s="27"/>
      <c r="AE259" s="20"/>
      <c r="AF259" s="20"/>
      <c r="AG259" s="20"/>
      <c r="AH259" s="20"/>
      <c r="AI259" s="20"/>
      <c r="AJ259" s="20"/>
      <c r="AK259" s="20"/>
      <c r="AL259" s="20"/>
      <c r="AM259" s="20"/>
      <c r="AN259" s="20"/>
      <c r="AO259" s="20"/>
      <c r="AP259" s="20"/>
      <c r="AQ259" s="20"/>
      <c r="AR259" s="20"/>
      <c r="AS259" s="20"/>
      <c r="AT259" s="20"/>
      <c r="AU259" s="20"/>
      <c r="AV259" s="20"/>
      <c r="AW259" s="20"/>
      <c r="AX259" s="20"/>
      <c r="AY259" s="20"/>
      <c r="AZ259" s="20"/>
      <c r="BA259" s="20"/>
      <c r="BB259" s="20"/>
      <c r="BC259" s="20"/>
      <c r="BD259" s="20"/>
      <c r="BE259" s="20"/>
      <c r="BF259" s="20"/>
      <c r="BG259" s="20"/>
      <c r="BH259" s="20"/>
      <c r="BI259" s="20"/>
      <c r="BJ259" s="20"/>
      <c r="BK259" s="20"/>
      <c r="BL259" s="20"/>
      <c r="BM259" s="20"/>
      <c r="BN259" s="20"/>
      <c r="BO259" s="20"/>
      <c r="BP259" s="20"/>
      <c r="BQ259" s="20"/>
      <c r="BR259" s="20"/>
      <c r="BS259" s="20"/>
      <c r="BT259" s="20"/>
      <c r="BU259" s="44"/>
      <c r="BV259" s="44"/>
      <c r="BW259" s="44"/>
      <c r="BX259" s="44"/>
      <c r="BY259" s="44"/>
      <c r="BZ259" s="44"/>
      <c r="CA259" s="44"/>
      <c r="CB259" s="44"/>
      <c r="CC259" s="44"/>
      <c r="CD259" s="44"/>
      <c r="CE259" s="44"/>
      <c r="CF259" s="44"/>
      <c r="CG259" s="44"/>
      <c r="CH259" s="44"/>
      <c r="CI259" s="44"/>
      <c r="CJ259" s="44"/>
      <c r="CK259" s="44"/>
      <c r="CL259" s="44"/>
      <c r="CM259" s="44"/>
      <c r="CN259" s="44"/>
      <c r="CO259" s="44"/>
      <c r="CP259" s="44"/>
      <c r="CQ259" s="44"/>
      <c r="CR259" s="44"/>
      <c r="CS259" s="44"/>
      <c r="CT259" s="44"/>
      <c r="CU259" s="44"/>
      <c r="CV259" s="44"/>
      <c r="CW259" s="44"/>
      <c r="CX259" s="44"/>
      <c r="CY259" s="44"/>
      <c r="CZ259" s="44"/>
      <c r="DA259" s="44"/>
      <c r="DB259" s="44"/>
      <c r="DC259" s="44"/>
      <c r="DD259" s="44"/>
      <c r="DE259" s="44"/>
      <c r="DF259" s="44"/>
      <c r="DG259" s="44"/>
      <c r="DH259" s="44"/>
      <c r="DI259" s="44"/>
      <c r="DJ259" s="44"/>
      <c r="DK259" s="44"/>
      <c r="DL259" s="44"/>
      <c r="DM259" s="44"/>
      <c r="DN259" s="44"/>
      <c r="DO259" s="44"/>
      <c r="DP259" s="44"/>
      <c r="DQ259" s="44"/>
      <c r="DR259" s="44"/>
      <c r="DS259" s="44"/>
      <c r="DT259" s="44"/>
      <c r="DU259" s="44"/>
      <c r="DV259" s="44"/>
      <c r="DW259" s="44"/>
      <c r="DX259" s="44"/>
      <c r="DY259" s="44"/>
      <c r="DZ259" s="44"/>
      <c r="EA259" s="44"/>
      <c r="EB259" s="44"/>
      <c r="EC259" s="44"/>
      <c r="ED259" s="44"/>
      <c r="EE259" s="44"/>
      <c r="EF259" s="44"/>
      <c r="EG259" s="44"/>
    </row>
    <row r="260" spans="1:137">
      <c r="A260" s="14"/>
      <c r="B260" s="44"/>
      <c r="C260" s="44"/>
      <c r="D260" s="44"/>
      <c r="E260" s="44"/>
      <c r="F260" s="44"/>
      <c r="G260" s="44"/>
      <c r="H260" s="44"/>
      <c r="I260" s="44"/>
      <c r="J260" s="44"/>
      <c r="K260" s="44"/>
      <c r="L260" s="44"/>
      <c r="M260" s="44"/>
      <c r="N260" s="44"/>
      <c r="O260" s="44"/>
      <c r="P260" s="44"/>
      <c r="Q260" s="44"/>
      <c r="R260" s="44"/>
      <c r="S260" s="44"/>
      <c r="T260" s="20"/>
      <c r="U260" s="20"/>
      <c r="V260" s="20"/>
      <c r="W260" s="20"/>
      <c r="X260" s="20"/>
      <c r="Y260" s="27"/>
      <c r="Z260" s="27"/>
      <c r="AA260" s="27"/>
      <c r="AB260" s="27"/>
      <c r="AC260" s="27"/>
      <c r="AD260" s="27"/>
      <c r="AE260" s="20"/>
      <c r="AF260" s="20"/>
      <c r="AG260" s="20"/>
      <c r="AH260" s="20"/>
      <c r="AI260" s="20"/>
      <c r="AJ260" s="20"/>
      <c r="AK260" s="20"/>
      <c r="AL260" s="20"/>
      <c r="AM260" s="20"/>
      <c r="AN260" s="20"/>
      <c r="AO260" s="20"/>
      <c r="AP260" s="20"/>
      <c r="AQ260" s="20"/>
      <c r="AR260" s="20"/>
      <c r="AS260" s="20"/>
      <c r="AT260" s="20"/>
      <c r="AU260" s="20"/>
      <c r="AV260" s="20"/>
      <c r="AW260" s="20"/>
      <c r="AX260" s="20"/>
      <c r="AY260" s="20"/>
      <c r="AZ260" s="20"/>
      <c r="BA260" s="20"/>
      <c r="BB260" s="20"/>
      <c r="BC260" s="20"/>
      <c r="BD260" s="20"/>
      <c r="BE260" s="20"/>
      <c r="BF260" s="20"/>
      <c r="BG260" s="20"/>
      <c r="BH260" s="20"/>
      <c r="BI260" s="20"/>
      <c r="BJ260" s="20"/>
      <c r="BK260" s="20"/>
      <c r="BL260" s="20"/>
      <c r="BM260" s="20"/>
      <c r="BN260" s="20"/>
      <c r="BO260" s="20"/>
      <c r="BP260" s="20"/>
      <c r="BQ260" s="20"/>
      <c r="BR260" s="20"/>
      <c r="BS260" s="20"/>
      <c r="BT260" s="20"/>
      <c r="BU260" s="44"/>
      <c r="BV260" s="44"/>
      <c r="BW260" s="44"/>
      <c r="BX260" s="44"/>
      <c r="BY260" s="44"/>
      <c r="BZ260" s="44"/>
      <c r="CA260" s="44"/>
      <c r="CB260" s="44"/>
      <c r="CC260" s="44"/>
      <c r="CD260" s="44"/>
      <c r="CE260" s="44"/>
      <c r="CF260" s="44"/>
      <c r="CG260" s="44"/>
      <c r="CH260" s="44"/>
      <c r="CI260" s="44"/>
      <c r="CJ260" s="44"/>
      <c r="CK260" s="44"/>
      <c r="CL260" s="44"/>
      <c r="CM260" s="44"/>
      <c r="CN260" s="44"/>
      <c r="CO260" s="44"/>
      <c r="CP260" s="44"/>
      <c r="CQ260" s="44"/>
      <c r="CR260" s="44"/>
      <c r="CS260" s="44"/>
      <c r="CT260" s="44"/>
      <c r="CU260" s="44"/>
      <c r="CV260" s="44"/>
      <c r="CW260" s="44"/>
      <c r="CX260" s="44"/>
      <c r="CY260" s="44"/>
      <c r="CZ260" s="44"/>
      <c r="DA260" s="44"/>
      <c r="DB260" s="44"/>
      <c r="DC260" s="44"/>
      <c r="DD260" s="44"/>
      <c r="DE260" s="44"/>
      <c r="DF260" s="44"/>
      <c r="DG260" s="44"/>
      <c r="DH260" s="44"/>
      <c r="DI260" s="44"/>
      <c r="DJ260" s="44"/>
      <c r="DK260" s="44"/>
      <c r="DL260" s="44"/>
      <c r="DM260" s="44"/>
      <c r="DN260" s="44"/>
      <c r="DO260" s="44"/>
      <c r="DP260" s="44"/>
      <c r="DQ260" s="44"/>
      <c r="DR260" s="44"/>
      <c r="DS260" s="44"/>
      <c r="DT260" s="44"/>
      <c r="DU260" s="44"/>
      <c r="DV260" s="44"/>
      <c r="DW260" s="44"/>
      <c r="DX260" s="44"/>
      <c r="DY260" s="44"/>
      <c r="DZ260" s="44"/>
      <c r="EA260" s="44"/>
      <c r="EB260" s="44"/>
      <c r="EC260" s="44"/>
      <c r="ED260" s="44"/>
      <c r="EE260" s="44"/>
      <c r="EF260" s="44"/>
      <c r="EG260" s="44"/>
    </row>
    <row r="261" spans="1:137">
      <c r="A261" s="14"/>
      <c r="B261" s="44"/>
      <c r="C261" s="44"/>
      <c r="D261" s="44"/>
      <c r="E261" s="44"/>
      <c r="F261" s="44"/>
      <c r="G261" s="44"/>
      <c r="H261" s="44"/>
      <c r="I261" s="44"/>
      <c r="J261" s="44"/>
      <c r="K261" s="44"/>
      <c r="L261" s="44"/>
      <c r="M261" s="44"/>
      <c r="N261" s="44"/>
      <c r="O261" s="44"/>
      <c r="P261" s="44"/>
      <c r="Q261" s="44"/>
      <c r="R261" s="44"/>
      <c r="S261" s="44"/>
      <c r="T261" s="20"/>
      <c r="U261" s="20"/>
      <c r="V261" s="20"/>
      <c r="W261" s="20"/>
      <c r="X261" s="20"/>
      <c r="Y261" s="20"/>
      <c r="Z261" s="20"/>
      <c r="AA261" s="20"/>
      <c r="AB261" s="20"/>
      <c r="AC261" s="20"/>
      <c r="AD261" s="20"/>
      <c r="AE261" s="20"/>
      <c r="AF261" s="20"/>
      <c r="AG261" s="20"/>
      <c r="AH261" s="20"/>
      <c r="AI261" s="20"/>
      <c r="AJ261" s="20"/>
      <c r="AK261" s="20"/>
      <c r="AL261" s="20"/>
      <c r="AM261" s="20"/>
      <c r="AN261" s="20"/>
      <c r="AO261" s="20"/>
      <c r="AP261" s="20"/>
      <c r="AQ261" s="20"/>
      <c r="AR261" s="20"/>
      <c r="AS261" s="20"/>
      <c r="AT261" s="20"/>
      <c r="AU261" s="20"/>
      <c r="AV261" s="20"/>
      <c r="AW261" s="20"/>
      <c r="AX261" s="20"/>
      <c r="AY261" s="20"/>
      <c r="AZ261" s="20"/>
      <c r="BA261" s="20"/>
      <c r="BB261" s="20"/>
      <c r="BC261" s="20"/>
      <c r="BD261" s="20"/>
      <c r="BE261" s="20"/>
      <c r="BF261" s="20"/>
      <c r="BG261" s="20"/>
      <c r="BH261" s="20"/>
      <c r="BI261" s="20"/>
      <c r="BJ261" s="20"/>
      <c r="BK261" s="20"/>
      <c r="BL261" s="20"/>
      <c r="BM261" s="20"/>
      <c r="BN261" s="20"/>
      <c r="BO261" s="20"/>
      <c r="BP261" s="20"/>
      <c r="BQ261" s="20"/>
      <c r="BR261" s="20"/>
      <c r="BS261" s="20"/>
      <c r="BT261" s="20"/>
      <c r="BU261" s="44"/>
      <c r="BV261" s="44"/>
      <c r="BW261" s="44"/>
      <c r="BX261" s="44"/>
      <c r="BY261" s="44"/>
      <c r="BZ261" s="44"/>
      <c r="CA261" s="44"/>
      <c r="CB261" s="44"/>
      <c r="CC261" s="44"/>
      <c r="CD261" s="44"/>
      <c r="CE261" s="44"/>
      <c r="CF261" s="44"/>
      <c r="CG261" s="44"/>
      <c r="CH261" s="44"/>
      <c r="CI261" s="44"/>
      <c r="CJ261" s="44"/>
      <c r="CK261" s="44"/>
      <c r="CL261" s="44"/>
      <c r="CM261" s="44"/>
      <c r="CN261" s="44"/>
      <c r="CO261" s="44"/>
      <c r="CP261" s="44"/>
      <c r="CQ261" s="44"/>
      <c r="CR261" s="44"/>
      <c r="CS261" s="44"/>
      <c r="CT261" s="44"/>
      <c r="CU261" s="44"/>
      <c r="CV261" s="44"/>
      <c r="CW261" s="44"/>
      <c r="CX261" s="44"/>
      <c r="CY261" s="44"/>
      <c r="CZ261" s="44"/>
      <c r="DA261" s="44"/>
      <c r="DB261" s="44"/>
      <c r="DC261" s="44"/>
      <c r="DD261" s="44"/>
      <c r="DE261" s="44"/>
      <c r="DF261" s="44"/>
      <c r="DG261" s="44"/>
      <c r="DH261" s="44"/>
      <c r="DI261" s="44"/>
      <c r="DJ261" s="44"/>
      <c r="DK261" s="44"/>
      <c r="DL261" s="44"/>
      <c r="DM261" s="44"/>
      <c r="DN261" s="44"/>
      <c r="DO261" s="44"/>
      <c r="DP261" s="44"/>
      <c r="DQ261" s="44"/>
      <c r="DR261" s="44"/>
      <c r="DS261" s="44"/>
      <c r="DT261" s="44"/>
      <c r="DU261" s="44"/>
      <c r="DV261" s="44"/>
      <c r="DW261" s="44"/>
      <c r="DX261" s="44"/>
      <c r="DY261" s="44"/>
      <c r="DZ261" s="44"/>
      <c r="EA261" s="44"/>
      <c r="EB261" s="44"/>
      <c r="EC261" s="44"/>
      <c r="ED261" s="44"/>
      <c r="EE261" s="44"/>
      <c r="EF261" s="44"/>
      <c r="EG261" s="44"/>
    </row>
    <row r="262" spans="1:137">
      <c r="A262" s="14"/>
      <c r="B262" s="44"/>
      <c r="C262" s="44"/>
      <c r="D262" s="44"/>
      <c r="E262" s="44"/>
      <c r="F262" s="44"/>
      <c r="G262" s="44"/>
      <c r="H262" s="44"/>
      <c r="I262" s="44"/>
      <c r="J262" s="44"/>
      <c r="K262" s="44"/>
      <c r="L262" s="44"/>
      <c r="M262" s="44"/>
      <c r="N262" s="44"/>
      <c r="O262" s="44"/>
      <c r="P262" s="44"/>
      <c r="Q262" s="44"/>
      <c r="R262" s="44"/>
      <c r="S262" s="44"/>
      <c r="T262" s="20"/>
      <c r="U262" s="20"/>
      <c r="V262" s="20"/>
      <c r="W262" s="20"/>
      <c r="X262" s="20"/>
      <c r="Y262" s="20"/>
      <c r="Z262" s="20"/>
      <c r="AA262" s="20"/>
      <c r="AB262" s="20"/>
      <c r="AC262" s="20"/>
      <c r="AD262" s="20"/>
      <c r="AE262" s="20"/>
      <c r="AF262" s="20"/>
      <c r="AG262" s="20"/>
      <c r="AH262" s="20"/>
      <c r="AI262" s="20"/>
      <c r="AJ262" s="20"/>
      <c r="AK262" s="20"/>
      <c r="AL262" s="20"/>
      <c r="AM262" s="20"/>
      <c r="AN262" s="20"/>
      <c r="AO262" s="20"/>
      <c r="AP262" s="20"/>
      <c r="AQ262" s="20"/>
      <c r="AR262" s="20"/>
      <c r="AS262" s="20"/>
      <c r="AT262" s="20"/>
      <c r="AU262" s="20"/>
      <c r="AV262" s="20"/>
      <c r="AW262" s="20"/>
      <c r="AX262" s="20"/>
      <c r="AY262" s="20"/>
      <c r="AZ262" s="20"/>
      <c r="BA262" s="20"/>
      <c r="BB262" s="20"/>
      <c r="BC262" s="20"/>
      <c r="BD262" s="20"/>
      <c r="BE262" s="20"/>
      <c r="BF262" s="20"/>
      <c r="BG262" s="20"/>
      <c r="BH262" s="20"/>
      <c r="BI262" s="20"/>
      <c r="BJ262" s="20"/>
      <c r="BK262" s="20"/>
      <c r="BL262" s="20"/>
      <c r="BM262" s="20"/>
      <c r="BN262" s="20"/>
      <c r="BO262" s="20"/>
      <c r="BP262" s="20"/>
      <c r="BQ262" s="20"/>
      <c r="BR262" s="20"/>
      <c r="BS262" s="20"/>
      <c r="BT262" s="20"/>
      <c r="BU262" s="44"/>
      <c r="BV262" s="44"/>
      <c r="BW262" s="44"/>
      <c r="BX262" s="44"/>
      <c r="BY262" s="44"/>
      <c r="BZ262" s="44"/>
      <c r="CA262" s="44"/>
      <c r="CB262" s="44"/>
      <c r="CC262" s="44"/>
      <c r="CD262" s="44"/>
      <c r="CE262" s="44"/>
      <c r="CF262" s="44"/>
      <c r="CG262" s="44"/>
      <c r="CH262" s="44"/>
      <c r="CI262" s="44"/>
      <c r="CJ262" s="44"/>
      <c r="CK262" s="44"/>
      <c r="CL262" s="44"/>
      <c r="CM262" s="44"/>
      <c r="CN262" s="44"/>
      <c r="CO262" s="44"/>
      <c r="CP262" s="44"/>
      <c r="CQ262" s="44"/>
      <c r="CR262" s="44"/>
      <c r="CS262" s="44"/>
      <c r="CT262" s="44"/>
      <c r="CU262" s="44"/>
      <c r="CV262" s="44"/>
      <c r="CW262" s="44"/>
      <c r="CX262" s="44"/>
      <c r="CY262" s="44"/>
      <c r="CZ262" s="44"/>
      <c r="DA262" s="44"/>
      <c r="DB262" s="44"/>
      <c r="DC262" s="44"/>
      <c r="DD262" s="44"/>
      <c r="DE262" s="44"/>
      <c r="DF262" s="44"/>
      <c r="DG262" s="44"/>
      <c r="DH262" s="44"/>
      <c r="DI262" s="44"/>
      <c r="DJ262" s="44"/>
      <c r="DK262" s="44"/>
      <c r="DL262" s="44"/>
      <c r="DM262" s="44"/>
      <c r="DN262" s="44"/>
      <c r="DO262" s="44"/>
      <c r="DP262" s="44"/>
      <c r="DQ262" s="44"/>
      <c r="DR262" s="44"/>
      <c r="DS262" s="44"/>
      <c r="DT262" s="44"/>
      <c r="DU262" s="44"/>
      <c r="DV262" s="44"/>
      <c r="DW262" s="44"/>
      <c r="DX262" s="44"/>
      <c r="DY262" s="44"/>
      <c r="DZ262" s="44"/>
      <c r="EA262" s="44"/>
      <c r="EB262" s="44"/>
      <c r="EC262" s="44"/>
      <c r="ED262" s="44"/>
      <c r="EE262" s="44"/>
      <c r="EF262" s="44"/>
      <c r="EG262" s="44"/>
    </row>
    <row r="263" spans="1:137">
      <c r="A263" s="14"/>
      <c r="B263" s="44"/>
      <c r="C263" s="44"/>
      <c r="D263" s="44"/>
      <c r="E263" s="44"/>
      <c r="F263" s="44"/>
      <c r="G263" s="44"/>
      <c r="H263" s="44"/>
      <c r="I263" s="44"/>
      <c r="J263" s="44"/>
      <c r="K263" s="44"/>
      <c r="L263" s="44"/>
      <c r="M263" s="44"/>
      <c r="N263" s="44"/>
      <c r="O263" s="44"/>
      <c r="P263" s="44"/>
      <c r="Q263" s="44"/>
      <c r="R263" s="44"/>
      <c r="S263" s="44"/>
      <c r="T263" s="20"/>
      <c r="U263" s="20"/>
      <c r="V263" s="20"/>
      <c r="W263" s="20"/>
      <c r="X263" s="20"/>
      <c r="Y263" s="20"/>
      <c r="Z263" s="20"/>
      <c r="AA263" s="20"/>
      <c r="AB263" s="20"/>
      <c r="AC263" s="20"/>
      <c r="AD263" s="20"/>
      <c r="AE263" s="20"/>
      <c r="AF263" s="20"/>
      <c r="AG263" s="20"/>
      <c r="AH263" s="20"/>
      <c r="AI263" s="20"/>
      <c r="AJ263" s="20"/>
      <c r="AK263" s="20"/>
      <c r="AL263" s="20"/>
      <c r="AM263" s="20"/>
      <c r="AN263" s="20"/>
      <c r="AO263" s="20"/>
      <c r="AP263" s="20"/>
      <c r="AQ263" s="20"/>
      <c r="AR263" s="20"/>
      <c r="AS263" s="20"/>
      <c r="AT263" s="20"/>
      <c r="AU263" s="20"/>
      <c r="AV263" s="20"/>
      <c r="AW263" s="20"/>
      <c r="AX263" s="20"/>
      <c r="AY263" s="20"/>
      <c r="AZ263" s="20"/>
      <c r="BA263" s="20"/>
      <c r="BB263" s="20"/>
      <c r="BC263" s="20"/>
      <c r="BD263" s="20"/>
      <c r="BE263" s="20"/>
      <c r="BF263" s="20"/>
      <c r="BG263" s="20"/>
      <c r="BH263" s="20"/>
      <c r="BI263" s="20"/>
      <c r="BJ263" s="20"/>
      <c r="BK263" s="20"/>
      <c r="BL263" s="20"/>
      <c r="BM263" s="20"/>
      <c r="BN263" s="20"/>
      <c r="BO263" s="20"/>
      <c r="BP263" s="20"/>
      <c r="BQ263" s="20"/>
      <c r="BR263" s="20"/>
      <c r="BS263" s="20"/>
      <c r="BT263" s="20"/>
      <c r="BU263" s="44"/>
      <c r="BV263" s="44"/>
      <c r="BW263" s="44"/>
      <c r="BX263" s="44"/>
      <c r="BY263" s="44"/>
      <c r="BZ263" s="44"/>
      <c r="CA263" s="44"/>
      <c r="CB263" s="44"/>
      <c r="CC263" s="44"/>
      <c r="CD263" s="44"/>
      <c r="CE263" s="44"/>
      <c r="CF263" s="44"/>
      <c r="CG263" s="44"/>
      <c r="CH263" s="44"/>
      <c r="CI263" s="44"/>
      <c r="CJ263" s="44"/>
      <c r="CK263" s="44"/>
      <c r="CL263" s="44"/>
      <c r="CM263" s="44"/>
      <c r="CN263" s="44"/>
      <c r="CO263" s="44"/>
      <c r="CP263" s="44"/>
      <c r="CQ263" s="44"/>
      <c r="CR263" s="44"/>
      <c r="CS263" s="44"/>
      <c r="CT263" s="44"/>
      <c r="CU263" s="44"/>
      <c r="CV263" s="44"/>
      <c r="CW263" s="44"/>
      <c r="CX263" s="44"/>
      <c r="CY263" s="44"/>
      <c r="CZ263" s="44"/>
      <c r="DA263" s="44"/>
      <c r="DB263" s="44"/>
      <c r="DC263" s="44"/>
      <c r="DD263" s="44"/>
      <c r="DE263" s="44"/>
      <c r="DF263" s="44"/>
      <c r="DG263" s="44"/>
      <c r="DH263" s="44"/>
      <c r="DI263" s="44"/>
      <c r="DJ263" s="44"/>
      <c r="DK263" s="44"/>
      <c r="DL263" s="44"/>
      <c r="DM263" s="44"/>
      <c r="DN263" s="44"/>
      <c r="DO263" s="44"/>
      <c r="DP263" s="44"/>
      <c r="DQ263" s="44"/>
      <c r="DR263" s="44"/>
      <c r="DS263" s="44"/>
      <c r="DT263" s="44"/>
      <c r="DU263" s="44"/>
      <c r="DV263" s="44"/>
      <c r="DW263" s="44"/>
      <c r="DX263" s="44"/>
      <c r="DY263" s="44"/>
      <c r="DZ263" s="44"/>
      <c r="EA263" s="44"/>
      <c r="EB263" s="44"/>
      <c r="EC263" s="44"/>
      <c r="ED263" s="44"/>
      <c r="EE263" s="44"/>
      <c r="EF263" s="44"/>
      <c r="EG263" s="44"/>
    </row>
    <row r="264" spans="1:137">
      <c r="A264" s="14"/>
      <c r="B264" s="44"/>
      <c r="C264" s="44"/>
      <c r="D264" s="44"/>
      <c r="E264" s="44"/>
      <c r="F264" s="44"/>
      <c r="G264" s="44"/>
      <c r="H264" s="44"/>
      <c r="I264" s="44"/>
      <c r="J264" s="44"/>
      <c r="K264" s="44"/>
      <c r="L264" s="44"/>
      <c r="M264" s="44"/>
      <c r="N264" s="44"/>
      <c r="O264" s="44"/>
      <c r="P264" s="44"/>
      <c r="Q264" s="44"/>
      <c r="R264" s="44"/>
      <c r="S264" s="44"/>
      <c r="T264" s="20"/>
      <c r="U264" s="20"/>
      <c r="V264" s="20"/>
      <c r="W264" s="20"/>
      <c r="X264" s="20"/>
      <c r="Y264" s="20"/>
      <c r="Z264" s="20"/>
      <c r="AA264" s="20"/>
      <c r="AB264" s="20"/>
      <c r="AC264" s="20"/>
      <c r="AD264" s="20"/>
      <c r="AE264" s="20"/>
      <c r="AF264" s="20"/>
      <c r="AG264" s="20"/>
      <c r="AH264" s="20"/>
      <c r="AI264" s="20"/>
      <c r="AJ264" s="20"/>
      <c r="AK264" s="20"/>
      <c r="AL264" s="20"/>
      <c r="AM264" s="20"/>
      <c r="AN264" s="20"/>
      <c r="AO264" s="20"/>
      <c r="AP264" s="20"/>
      <c r="AQ264" s="20"/>
      <c r="AR264" s="20"/>
      <c r="AS264" s="20"/>
      <c r="AT264" s="20"/>
      <c r="AU264" s="20"/>
      <c r="AV264" s="20"/>
      <c r="AW264" s="20"/>
      <c r="AX264" s="20"/>
      <c r="AY264" s="20"/>
      <c r="AZ264" s="20"/>
      <c r="BA264" s="20"/>
      <c r="BB264" s="20"/>
      <c r="BC264" s="20"/>
      <c r="BD264" s="20"/>
      <c r="BE264" s="20"/>
      <c r="BF264" s="20"/>
      <c r="BG264" s="20"/>
      <c r="BH264" s="20"/>
      <c r="BI264" s="20"/>
      <c r="BJ264" s="20"/>
      <c r="BK264" s="20"/>
      <c r="BL264" s="20"/>
      <c r="BM264" s="20"/>
      <c r="BN264" s="20"/>
      <c r="BO264" s="20"/>
      <c r="BP264" s="20"/>
      <c r="BQ264" s="20"/>
      <c r="BR264" s="20"/>
      <c r="BS264" s="20"/>
      <c r="BT264" s="20"/>
      <c r="BU264" s="44"/>
      <c r="BV264" s="44"/>
      <c r="BW264" s="44"/>
      <c r="BX264" s="44"/>
      <c r="BY264" s="44"/>
      <c r="BZ264" s="44"/>
      <c r="CA264" s="44"/>
      <c r="CB264" s="44"/>
      <c r="CC264" s="44"/>
      <c r="CD264" s="44"/>
      <c r="CE264" s="44"/>
      <c r="CF264" s="44"/>
      <c r="CG264" s="44"/>
      <c r="CH264" s="44"/>
      <c r="CI264" s="44"/>
      <c r="CJ264" s="44"/>
      <c r="CK264" s="44"/>
      <c r="CL264" s="44"/>
      <c r="CM264" s="44"/>
      <c r="CN264" s="44"/>
      <c r="CO264" s="44"/>
      <c r="CP264" s="44"/>
      <c r="CQ264" s="44"/>
      <c r="CR264" s="44"/>
      <c r="CS264" s="44"/>
      <c r="CT264" s="44"/>
      <c r="CU264" s="44"/>
      <c r="CV264" s="44"/>
      <c r="CW264" s="44"/>
      <c r="CX264" s="44"/>
      <c r="CY264" s="44"/>
      <c r="CZ264" s="44"/>
      <c r="DA264" s="44"/>
      <c r="DB264" s="44"/>
      <c r="DC264" s="44"/>
      <c r="DD264" s="44"/>
      <c r="DE264" s="44"/>
      <c r="DF264" s="44"/>
      <c r="DG264" s="44"/>
      <c r="DH264" s="44"/>
      <c r="DI264" s="44"/>
      <c r="DJ264" s="44"/>
      <c r="DK264" s="44"/>
      <c r="DL264" s="44"/>
      <c r="DM264" s="44"/>
      <c r="DN264" s="44"/>
      <c r="DO264" s="44"/>
      <c r="DP264" s="44"/>
      <c r="DQ264" s="44"/>
      <c r="DR264" s="44"/>
      <c r="DS264" s="44"/>
      <c r="DT264" s="44"/>
      <c r="DU264" s="44"/>
      <c r="DV264" s="44"/>
      <c r="DW264" s="44"/>
      <c r="DX264" s="44"/>
      <c r="DY264" s="44"/>
      <c r="DZ264" s="44"/>
      <c r="EA264" s="44"/>
      <c r="EB264" s="44"/>
      <c r="EC264" s="44"/>
      <c r="ED264" s="44"/>
      <c r="EE264" s="44"/>
      <c r="EF264" s="44"/>
      <c r="EG264" s="44"/>
    </row>
    <row r="265" spans="1:137">
      <c r="A265" s="14"/>
      <c r="B265" s="44"/>
      <c r="C265" s="44"/>
      <c r="D265" s="44"/>
      <c r="E265" s="44"/>
      <c r="F265" s="44"/>
      <c r="G265" s="44"/>
      <c r="H265" s="44"/>
      <c r="I265" s="44"/>
      <c r="J265" s="44"/>
      <c r="K265" s="44"/>
      <c r="L265" s="44"/>
      <c r="M265" s="44"/>
      <c r="N265" s="44"/>
      <c r="O265" s="44"/>
      <c r="P265" s="44"/>
      <c r="Q265" s="44"/>
      <c r="R265" s="44"/>
      <c r="S265" s="44"/>
      <c r="T265" s="20"/>
      <c r="U265" s="20"/>
      <c r="V265" s="20"/>
      <c r="W265" s="20"/>
      <c r="X265" s="20"/>
      <c r="Y265" s="20"/>
      <c r="Z265" s="20"/>
      <c r="AA265" s="20"/>
      <c r="AB265" s="20"/>
      <c r="AC265" s="20"/>
      <c r="AD265" s="20"/>
      <c r="AE265" s="20"/>
      <c r="AF265" s="20"/>
      <c r="AG265" s="20"/>
      <c r="AH265" s="20"/>
      <c r="AI265" s="20"/>
      <c r="AJ265" s="20"/>
      <c r="AK265" s="20"/>
      <c r="AL265" s="20"/>
      <c r="AM265" s="20"/>
      <c r="AN265" s="20"/>
      <c r="AO265" s="20"/>
      <c r="AP265" s="20"/>
      <c r="AQ265" s="20"/>
      <c r="AR265" s="20"/>
      <c r="AS265" s="20"/>
      <c r="AT265" s="20"/>
      <c r="AU265" s="20"/>
      <c r="AV265" s="20"/>
      <c r="AW265" s="20"/>
      <c r="AX265" s="20"/>
      <c r="AY265" s="20"/>
      <c r="AZ265" s="20"/>
      <c r="BA265" s="20"/>
      <c r="BB265" s="20"/>
      <c r="BC265" s="20"/>
      <c r="BD265" s="20"/>
      <c r="BE265" s="20"/>
      <c r="BF265" s="20"/>
      <c r="BG265" s="20"/>
      <c r="BH265" s="20"/>
      <c r="BI265" s="20"/>
      <c r="BJ265" s="20"/>
      <c r="BK265" s="20"/>
      <c r="BL265" s="20"/>
      <c r="BM265" s="20"/>
      <c r="BN265" s="20"/>
      <c r="BO265" s="20"/>
      <c r="BP265" s="20"/>
      <c r="BQ265" s="20"/>
      <c r="BR265" s="20"/>
      <c r="BS265" s="20"/>
      <c r="BT265" s="20"/>
      <c r="BU265" s="44"/>
      <c r="BV265" s="44"/>
      <c r="BW265" s="44"/>
      <c r="BX265" s="44"/>
      <c r="BY265" s="44"/>
      <c r="BZ265" s="44"/>
      <c r="CA265" s="44"/>
      <c r="CB265" s="44"/>
      <c r="CC265" s="44"/>
      <c r="CD265" s="44"/>
      <c r="CE265" s="44"/>
      <c r="CF265" s="44"/>
      <c r="CG265" s="44"/>
      <c r="CH265" s="44"/>
      <c r="CI265" s="44"/>
      <c r="CJ265" s="44"/>
      <c r="CK265" s="44"/>
      <c r="CL265" s="44"/>
      <c r="CM265" s="44"/>
      <c r="CN265" s="44"/>
      <c r="CO265" s="44"/>
      <c r="CP265" s="44"/>
      <c r="CQ265" s="44"/>
      <c r="CR265" s="44"/>
      <c r="CS265" s="44"/>
      <c r="CT265" s="44"/>
      <c r="CU265" s="44"/>
      <c r="CV265" s="44"/>
      <c r="CW265" s="44"/>
      <c r="CX265" s="44"/>
      <c r="CY265" s="44"/>
      <c r="CZ265" s="44"/>
      <c r="DA265" s="44"/>
      <c r="DB265" s="44"/>
      <c r="DC265" s="44"/>
      <c r="DD265" s="44"/>
      <c r="DE265" s="44"/>
      <c r="DF265" s="44"/>
      <c r="DG265" s="44"/>
      <c r="DH265" s="44"/>
      <c r="DI265" s="44"/>
      <c r="DJ265" s="44"/>
      <c r="DK265" s="44"/>
      <c r="DL265" s="44"/>
      <c r="DM265" s="44"/>
      <c r="DN265" s="44"/>
      <c r="DO265" s="44"/>
      <c r="DP265" s="44"/>
      <c r="DQ265" s="44"/>
      <c r="DR265" s="44"/>
      <c r="DS265" s="44"/>
      <c r="DT265" s="44"/>
      <c r="DU265" s="44"/>
      <c r="DV265" s="44"/>
      <c r="DW265" s="44"/>
      <c r="DX265" s="44"/>
      <c r="DY265" s="44"/>
      <c r="DZ265" s="44"/>
      <c r="EA265" s="44"/>
      <c r="EB265" s="44"/>
      <c r="EC265" s="44"/>
      <c r="ED265" s="44"/>
      <c r="EE265" s="44"/>
      <c r="EF265" s="44"/>
      <c r="EG265" s="44"/>
    </row>
    <row r="266" spans="1:137">
      <c r="A266" s="14"/>
      <c r="B266" s="44"/>
      <c r="C266" s="44"/>
      <c r="D266" s="44"/>
      <c r="E266" s="44"/>
      <c r="F266" s="44"/>
      <c r="G266" s="44"/>
      <c r="H266" s="44"/>
      <c r="I266" s="44"/>
      <c r="J266" s="44"/>
      <c r="K266" s="44"/>
      <c r="L266" s="44"/>
      <c r="M266" s="44"/>
      <c r="N266" s="44"/>
      <c r="O266" s="44"/>
      <c r="P266" s="44"/>
      <c r="Q266" s="44"/>
      <c r="R266" s="44"/>
      <c r="S266" s="44"/>
      <c r="T266" s="20"/>
      <c r="U266" s="20"/>
      <c r="V266" s="20"/>
      <c r="W266" s="20"/>
      <c r="X266" s="20"/>
      <c r="Y266" s="20"/>
      <c r="Z266" s="20"/>
      <c r="AA266" s="20"/>
      <c r="AB266" s="20"/>
      <c r="AC266" s="20"/>
      <c r="AD266" s="20"/>
      <c r="AE266" s="20"/>
      <c r="AF266" s="20"/>
      <c r="AG266" s="20"/>
      <c r="AH266" s="20"/>
      <c r="AI266" s="20"/>
      <c r="AJ266" s="20"/>
      <c r="AK266" s="20"/>
      <c r="AL266" s="20"/>
      <c r="AM266" s="20"/>
      <c r="AN266" s="20"/>
      <c r="AO266" s="20"/>
      <c r="AP266" s="20"/>
      <c r="AQ266" s="20"/>
      <c r="AR266" s="20"/>
      <c r="AS266" s="20"/>
      <c r="AT266" s="20"/>
      <c r="AU266" s="20"/>
      <c r="AV266" s="20"/>
      <c r="AW266" s="20"/>
      <c r="AX266" s="20"/>
      <c r="AY266" s="20"/>
      <c r="AZ266" s="20"/>
      <c r="BA266" s="20"/>
      <c r="BB266" s="20"/>
      <c r="BC266" s="20"/>
      <c r="BD266" s="20"/>
      <c r="BE266" s="20"/>
      <c r="BF266" s="20"/>
      <c r="BG266" s="20"/>
      <c r="BH266" s="20"/>
      <c r="BI266" s="20"/>
      <c r="BJ266" s="20"/>
      <c r="BK266" s="20"/>
      <c r="BL266" s="20"/>
      <c r="BM266" s="20"/>
      <c r="BN266" s="20"/>
      <c r="BO266" s="20"/>
      <c r="BP266" s="20"/>
      <c r="BQ266" s="20"/>
      <c r="BR266" s="20"/>
      <c r="BS266" s="20"/>
      <c r="BT266" s="20"/>
      <c r="BU266" s="44"/>
      <c r="BV266" s="44"/>
      <c r="BW266" s="44"/>
      <c r="BX266" s="44"/>
      <c r="BY266" s="44"/>
      <c r="BZ266" s="44"/>
      <c r="CA266" s="44"/>
      <c r="CB266" s="44"/>
      <c r="CC266" s="44"/>
      <c r="CD266" s="44"/>
      <c r="CE266" s="44"/>
      <c r="CF266" s="44"/>
      <c r="CG266" s="44"/>
      <c r="CH266" s="44"/>
      <c r="CI266" s="44"/>
      <c r="CJ266" s="44"/>
      <c r="CK266" s="44"/>
      <c r="CL266" s="44"/>
      <c r="CM266" s="44"/>
      <c r="CN266" s="44"/>
      <c r="CO266" s="44"/>
      <c r="CP266" s="44"/>
      <c r="CQ266" s="44"/>
      <c r="CR266" s="44"/>
      <c r="CS266" s="44"/>
      <c r="CT266" s="44"/>
      <c r="CU266" s="44"/>
      <c r="CV266" s="44"/>
      <c r="CW266" s="44"/>
      <c r="CX266" s="44"/>
      <c r="CY266" s="44"/>
      <c r="CZ266" s="44"/>
      <c r="DA266" s="44"/>
      <c r="DB266" s="44"/>
      <c r="DC266" s="44"/>
      <c r="DD266" s="44"/>
      <c r="DE266" s="44"/>
      <c r="DF266" s="44"/>
      <c r="DG266" s="44"/>
      <c r="DH266" s="44"/>
      <c r="DI266" s="44"/>
      <c r="DJ266" s="44"/>
      <c r="DK266" s="44"/>
      <c r="DL266" s="44"/>
      <c r="DM266" s="44"/>
      <c r="DN266" s="44"/>
      <c r="DO266" s="44"/>
      <c r="DP266" s="44"/>
      <c r="DQ266" s="44"/>
      <c r="DR266" s="44"/>
      <c r="DS266" s="44"/>
      <c r="DT266" s="44"/>
      <c r="DU266" s="44"/>
      <c r="DV266" s="44"/>
      <c r="DW266" s="44"/>
      <c r="DX266" s="44"/>
      <c r="DY266" s="44"/>
      <c r="DZ266" s="44"/>
      <c r="EA266" s="44"/>
      <c r="EB266" s="44"/>
      <c r="EC266" s="44"/>
      <c r="ED266" s="44"/>
      <c r="EE266" s="44"/>
      <c r="EF266" s="44"/>
      <c r="EG266" s="44"/>
    </row>
    <row r="267" spans="1:137">
      <c r="A267" s="14"/>
      <c r="B267" s="44"/>
      <c r="C267" s="44"/>
      <c r="D267" s="44"/>
      <c r="E267" s="44"/>
      <c r="F267" s="44"/>
      <c r="G267" s="44"/>
      <c r="H267" s="44"/>
      <c r="I267" s="44"/>
      <c r="J267" s="44"/>
      <c r="K267" s="44"/>
      <c r="L267" s="44"/>
      <c r="M267" s="44"/>
      <c r="N267" s="44"/>
      <c r="O267" s="44"/>
      <c r="P267" s="44"/>
      <c r="Q267" s="44"/>
      <c r="R267" s="44"/>
      <c r="S267" s="44"/>
      <c r="T267" s="20"/>
      <c r="U267" s="20"/>
      <c r="V267" s="20"/>
      <c r="W267" s="20"/>
      <c r="X267" s="20"/>
      <c r="Y267" s="20"/>
      <c r="Z267" s="20"/>
      <c r="AA267" s="20"/>
      <c r="AB267" s="20"/>
      <c r="AC267" s="20"/>
      <c r="AD267" s="20"/>
      <c r="AE267" s="20"/>
      <c r="AF267" s="20"/>
      <c r="AG267" s="20"/>
      <c r="AH267" s="20"/>
      <c r="AI267" s="20"/>
      <c r="AJ267" s="20"/>
      <c r="AK267" s="20"/>
      <c r="AL267" s="20"/>
      <c r="AM267" s="20"/>
      <c r="AN267" s="20"/>
      <c r="AO267" s="20"/>
      <c r="AP267" s="20"/>
      <c r="AQ267" s="20"/>
      <c r="AR267" s="20"/>
      <c r="AS267" s="20"/>
      <c r="AT267" s="20"/>
      <c r="AU267" s="20"/>
      <c r="AV267" s="20"/>
      <c r="AW267" s="20"/>
      <c r="AX267" s="20"/>
      <c r="AY267" s="20"/>
      <c r="AZ267" s="20"/>
      <c r="BA267" s="20"/>
      <c r="BB267" s="20"/>
      <c r="BC267" s="20"/>
      <c r="BD267" s="20"/>
      <c r="BE267" s="20"/>
      <c r="BF267" s="20"/>
      <c r="BG267" s="20"/>
      <c r="BH267" s="20"/>
      <c r="BI267" s="20"/>
      <c r="BJ267" s="20"/>
      <c r="BK267" s="20"/>
      <c r="BL267" s="20"/>
      <c r="BM267" s="20"/>
      <c r="BN267" s="20"/>
      <c r="BO267" s="20"/>
      <c r="BP267" s="20"/>
      <c r="BQ267" s="20"/>
      <c r="BR267" s="20"/>
      <c r="BS267" s="20"/>
      <c r="BT267" s="20"/>
      <c r="BU267" s="44"/>
      <c r="BV267" s="44"/>
      <c r="BW267" s="44"/>
      <c r="BX267" s="44"/>
      <c r="BY267" s="44"/>
      <c r="BZ267" s="44"/>
      <c r="CA267" s="44"/>
      <c r="CB267" s="44"/>
      <c r="CC267" s="44"/>
      <c r="CD267" s="44"/>
      <c r="CE267" s="44"/>
      <c r="CF267" s="44"/>
      <c r="CG267" s="44"/>
      <c r="CH267" s="44"/>
      <c r="CI267" s="44"/>
      <c r="CJ267" s="44"/>
      <c r="CK267" s="44"/>
      <c r="CL267" s="44"/>
      <c r="CM267" s="44"/>
      <c r="CN267" s="44"/>
      <c r="CO267" s="44"/>
      <c r="CP267" s="44"/>
      <c r="CQ267" s="44"/>
      <c r="CR267" s="44"/>
      <c r="CS267" s="44"/>
      <c r="CT267" s="44"/>
      <c r="CU267" s="44"/>
      <c r="CV267" s="44"/>
      <c r="CW267" s="44"/>
      <c r="CX267" s="44"/>
      <c r="CY267" s="44"/>
      <c r="CZ267" s="44"/>
      <c r="DA267" s="44"/>
      <c r="DB267" s="44"/>
      <c r="DC267" s="44"/>
      <c r="DD267" s="44"/>
      <c r="DE267" s="44"/>
      <c r="DF267" s="44"/>
      <c r="DG267" s="44"/>
      <c r="DH267" s="44"/>
      <c r="DI267" s="44"/>
      <c r="DJ267" s="44"/>
      <c r="DK267" s="44"/>
      <c r="DL267" s="44"/>
      <c r="DM267" s="44"/>
      <c r="DN267" s="44"/>
      <c r="DO267" s="44"/>
      <c r="DP267" s="44"/>
      <c r="DQ267" s="44"/>
      <c r="DR267" s="44"/>
      <c r="DS267" s="44"/>
      <c r="DT267" s="44"/>
      <c r="DU267" s="44"/>
      <c r="DV267" s="44"/>
      <c r="DW267" s="44"/>
      <c r="DX267" s="44"/>
      <c r="DY267" s="44"/>
      <c r="DZ267" s="44"/>
      <c r="EA267" s="44"/>
      <c r="EB267" s="44"/>
      <c r="EC267" s="44"/>
      <c r="ED267" s="44"/>
      <c r="EE267" s="44"/>
      <c r="EF267" s="44"/>
      <c r="EG267" s="44"/>
    </row>
    <row r="268" spans="1:137">
      <c r="A268" s="14"/>
      <c r="B268" s="44"/>
      <c r="C268" s="44"/>
      <c r="D268" s="44"/>
      <c r="E268" s="44"/>
      <c r="F268" s="44"/>
      <c r="G268" s="44"/>
      <c r="H268" s="44"/>
      <c r="I268" s="44"/>
      <c r="J268" s="44"/>
      <c r="K268" s="44"/>
      <c r="L268" s="44"/>
      <c r="M268" s="44"/>
      <c r="N268" s="44"/>
      <c r="O268" s="44"/>
      <c r="P268" s="44"/>
      <c r="Q268" s="44"/>
      <c r="R268" s="44"/>
      <c r="S268" s="44"/>
      <c r="T268" s="20"/>
      <c r="U268" s="20"/>
      <c r="V268" s="20"/>
      <c r="W268" s="20"/>
      <c r="X268" s="20"/>
      <c r="Y268" s="20"/>
      <c r="Z268" s="20"/>
      <c r="AA268" s="20"/>
      <c r="AB268" s="20"/>
      <c r="AC268" s="20"/>
      <c r="AD268" s="20"/>
      <c r="AE268" s="20"/>
      <c r="AF268" s="20"/>
      <c r="AG268" s="20"/>
      <c r="AH268" s="20"/>
      <c r="AI268" s="20"/>
      <c r="AJ268" s="20"/>
      <c r="AK268" s="20"/>
      <c r="AL268" s="20"/>
      <c r="AM268" s="20"/>
      <c r="AN268" s="20"/>
      <c r="AO268" s="20"/>
      <c r="AP268" s="20"/>
      <c r="AQ268" s="20"/>
      <c r="AR268" s="20"/>
      <c r="AS268" s="20"/>
      <c r="AT268" s="20"/>
      <c r="AU268" s="20"/>
      <c r="AV268" s="20"/>
      <c r="AW268" s="20"/>
      <c r="AX268" s="20"/>
      <c r="AY268" s="20"/>
      <c r="AZ268" s="20"/>
      <c r="BA268" s="20"/>
      <c r="BB268" s="20"/>
      <c r="BC268" s="20"/>
      <c r="BD268" s="20"/>
      <c r="BE268" s="20"/>
      <c r="BF268" s="20"/>
      <c r="BG268" s="20"/>
      <c r="BH268" s="20"/>
      <c r="BI268" s="20"/>
      <c r="BJ268" s="20"/>
      <c r="BK268" s="20"/>
      <c r="BL268" s="20"/>
      <c r="BM268" s="20"/>
      <c r="BN268" s="20"/>
      <c r="BO268" s="20"/>
      <c r="BP268" s="20"/>
      <c r="BQ268" s="20"/>
      <c r="BR268" s="20"/>
      <c r="BS268" s="20"/>
      <c r="BT268" s="20"/>
      <c r="BU268" s="44"/>
      <c r="BV268" s="44"/>
      <c r="BW268" s="44"/>
      <c r="BX268" s="44"/>
      <c r="BY268" s="44"/>
      <c r="BZ268" s="44"/>
      <c r="CA268" s="44"/>
      <c r="CB268" s="44"/>
      <c r="CC268" s="44"/>
      <c r="CD268" s="44"/>
      <c r="CE268" s="44"/>
      <c r="CF268" s="44"/>
      <c r="CG268" s="44"/>
      <c r="CH268" s="44"/>
      <c r="CI268" s="44"/>
      <c r="CJ268" s="44"/>
      <c r="CK268" s="44"/>
      <c r="CL268" s="44"/>
      <c r="CM268" s="44"/>
      <c r="CN268" s="44"/>
      <c r="CO268" s="44"/>
      <c r="CP268" s="44"/>
      <c r="CQ268" s="44"/>
      <c r="CR268" s="44"/>
      <c r="CS268" s="44"/>
      <c r="CT268" s="44"/>
      <c r="CU268" s="44"/>
      <c r="CV268" s="44"/>
      <c r="CW268" s="44"/>
      <c r="CX268" s="44"/>
      <c r="CY268" s="44"/>
      <c r="CZ268" s="44"/>
      <c r="DA268" s="44"/>
      <c r="DB268" s="44"/>
      <c r="DC268" s="44"/>
      <c r="DD268" s="44"/>
      <c r="DE268" s="44"/>
      <c r="DF268" s="44"/>
      <c r="DG268" s="44"/>
      <c r="DH268" s="44"/>
      <c r="DI268" s="44"/>
      <c r="DJ268" s="44"/>
      <c r="DK268" s="44"/>
      <c r="DL268" s="44"/>
      <c r="DM268" s="44"/>
      <c r="DN268" s="44"/>
      <c r="DO268" s="44"/>
      <c r="DP268" s="44"/>
      <c r="DQ268" s="44"/>
      <c r="DR268" s="44"/>
      <c r="DS268" s="44"/>
      <c r="DT268" s="44"/>
      <c r="DU268" s="44"/>
      <c r="DV268" s="44"/>
      <c r="DW268" s="44"/>
      <c r="DX268" s="44"/>
      <c r="DY268" s="44"/>
      <c r="DZ268" s="44"/>
      <c r="EA268" s="44"/>
      <c r="EB268" s="44"/>
      <c r="EC268" s="44"/>
      <c r="ED268" s="44"/>
      <c r="EE268" s="44"/>
      <c r="EF268" s="44"/>
      <c r="EG268" s="44"/>
    </row>
    <row r="269" spans="1:137">
      <c r="A269" s="14"/>
      <c r="B269" s="44"/>
      <c r="C269" s="44"/>
      <c r="D269" s="44"/>
      <c r="E269" s="44"/>
      <c r="F269" s="44"/>
      <c r="G269" s="44"/>
      <c r="H269" s="44"/>
      <c r="I269" s="44"/>
      <c r="J269" s="44"/>
      <c r="K269" s="44"/>
      <c r="L269" s="44"/>
      <c r="M269" s="44"/>
      <c r="N269" s="44"/>
      <c r="O269" s="44"/>
      <c r="P269" s="44"/>
      <c r="Q269" s="44"/>
      <c r="R269" s="44"/>
      <c r="S269" s="44"/>
      <c r="T269" s="20"/>
      <c r="U269" s="20"/>
      <c r="V269" s="20"/>
      <c r="W269" s="20"/>
      <c r="X269" s="20"/>
      <c r="Y269" s="20"/>
      <c r="Z269" s="20"/>
      <c r="AA269" s="20"/>
      <c r="AB269" s="20"/>
      <c r="AC269" s="20"/>
      <c r="AD269" s="20"/>
      <c r="AE269" s="20"/>
      <c r="AF269" s="20"/>
      <c r="AG269" s="20"/>
      <c r="AH269" s="20"/>
      <c r="AI269" s="20"/>
      <c r="AJ269" s="20"/>
      <c r="AK269" s="20"/>
      <c r="AL269" s="20"/>
      <c r="AM269" s="20"/>
      <c r="AN269" s="20"/>
      <c r="AO269" s="20"/>
      <c r="AP269" s="20"/>
      <c r="AQ269" s="20"/>
      <c r="AR269" s="20"/>
      <c r="AS269" s="20"/>
      <c r="AT269" s="20"/>
      <c r="AU269" s="20"/>
      <c r="AV269" s="20"/>
      <c r="AW269" s="20"/>
      <c r="AX269" s="20"/>
      <c r="AY269" s="20"/>
      <c r="AZ269" s="20"/>
      <c r="BA269" s="20"/>
      <c r="BB269" s="20"/>
      <c r="BC269" s="20"/>
      <c r="BD269" s="20"/>
      <c r="BE269" s="20"/>
      <c r="BF269" s="20"/>
      <c r="BG269" s="20"/>
      <c r="BH269" s="20"/>
      <c r="BI269" s="20"/>
      <c r="BJ269" s="20"/>
      <c r="BK269" s="20"/>
      <c r="BL269" s="20"/>
      <c r="BM269" s="20"/>
      <c r="BN269" s="20"/>
      <c r="BO269" s="20"/>
      <c r="BP269" s="20"/>
      <c r="BQ269" s="20"/>
      <c r="BR269" s="20"/>
      <c r="BS269" s="20"/>
      <c r="BT269" s="20"/>
      <c r="BU269" s="44"/>
      <c r="BV269" s="44"/>
      <c r="BW269" s="44"/>
      <c r="BX269" s="44"/>
      <c r="BY269" s="44"/>
      <c r="BZ269" s="44"/>
      <c r="CA269" s="44"/>
      <c r="CB269" s="44"/>
      <c r="CC269" s="44"/>
      <c r="CD269" s="44"/>
      <c r="CE269" s="44"/>
      <c r="CF269" s="44"/>
      <c r="CG269" s="44"/>
      <c r="CH269" s="44"/>
      <c r="CI269" s="44"/>
      <c r="CJ269" s="44"/>
      <c r="CK269" s="44"/>
      <c r="CL269" s="44"/>
      <c r="CM269" s="44"/>
      <c r="CN269" s="44"/>
      <c r="CO269" s="44"/>
      <c r="CP269" s="44"/>
      <c r="CQ269" s="44"/>
      <c r="CR269" s="44"/>
      <c r="CS269" s="44"/>
      <c r="CT269" s="44"/>
      <c r="CU269" s="44"/>
      <c r="CV269" s="44"/>
      <c r="CW269" s="44"/>
      <c r="CX269" s="44"/>
      <c r="CY269" s="44"/>
      <c r="CZ269" s="44"/>
      <c r="DA269" s="44"/>
      <c r="DB269" s="44"/>
      <c r="DC269" s="44"/>
      <c r="DD269" s="44"/>
      <c r="DE269" s="44"/>
      <c r="DF269" s="44"/>
      <c r="DG269" s="44"/>
      <c r="DH269" s="44"/>
      <c r="DI269" s="44"/>
      <c r="DJ269" s="44"/>
      <c r="DK269" s="44"/>
      <c r="DL269" s="44"/>
      <c r="DM269" s="44"/>
      <c r="DN269" s="44"/>
      <c r="DO269" s="44"/>
      <c r="DP269" s="44"/>
      <c r="DQ269" s="44"/>
      <c r="DR269" s="44"/>
      <c r="DS269" s="44"/>
      <c r="DT269" s="44"/>
      <c r="DU269" s="44"/>
      <c r="DV269" s="44"/>
      <c r="DW269" s="44"/>
      <c r="DX269" s="44"/>
      <c r="DY269" s="44"/>
      <c r="DZ269" s="44"/>
      <c r="EA269" s="44"/>
      <c r="EB269" s="44"/>
      <c r="EC269" s="44"/>
      <c r="ED269" s="44"/>
      <c r="EE269" s="44"/>
      <c r="EF269" s="44"/>
      <c r="EG269" s="44"/>
    </row>
    <row r="270" spans="1:137">
      <c r="A270" s="14"/>
      <c r="B270" s="44"/>
      <c r="C270" s="44"/>
      <c r="D270" s="44"/>
      <c r="E270" s="44"/>
      <c r="F270" s="44"/>
      <c r="G270" s="44"/>
      <c r="H270" s="44"/>
      <c r="I270" s="44"/>
      <c r="J270" s="44"/>
      <c r="K270" s="44"/>
      <c r="L270" s="44"/>
      <c r="M270" s="44"/>
      <c r="N270" s="44"/>
      <c r="O270" s="44"/>
      <c r="P270" s="44"/>
      <c r="Q270" s="44"/>
      <c r="R270" s="44"/>
      <c r="S270" s="44"/>
      <c r="T270" s="20"/>
      <c r="U270" s="20"/>
      <c r="V270" s="20"/>
      <c r="W270" s="20"/>
      <c r="X270" s="20"/>
      <c r="Y270" s="20"/>
      <c r="Z270" s="20"/>
      <c r="AA270" s="20"/>
      <c r="AB270" s="20"/>
      <c r="AC270" s="20"/>
      <c r="AD270" s="20"/>
      <c r="AE270" s="20"/>
      <c r="AF270" s="20"/>
      <c r="AG270" s="20"/>
      <c r="AH270" s="20"/>
      <c r="AI270" s="20"/>
      <c r="AJ270" s="20"/>
      <c r="AK270" s="20"/>
      <c r="AL270" s="20"/>
      <c r="AM270" s="20"/>
      <c r="AN270" s="20"/>
      <c r="AO270" s="20"/>
      <c r="AP270" s="20"/>
      <c r="AQ270" s="20"/>
      <c r="AR270" s="20"/>
      <c r="AS270" s="20"/>
      <c r="AT270" s="20"/>
      <c r="AU270" s="20"/>
      <c r="AV270" s="20"/>
      <c r="AW270" s="20"/>
      <c r="AX270" s="20"/>
      <c r="AY270" s="20"/>
      <c r="AZ270" s="20"/>
      <c r="BA270" s="20"/>
      <c r="BB270" s="20"/>
      <c r="BC270" s="20"/>
      <c r="BD270" s="20"/>
      <c r="BE270" s="20"/>
      <c r="BF270" s="20"/>
      <c r="BG270" s="20"/>
      <c r="BH270" s="20"/>
      <c r="BI270" s="20"/>
      <c r="BJ270" s="20"/>
      <c r="BK270" s="20"/>
      <c r="BL270" s="20"/>
      <c r="BM270" s="20"/>
      <c r="BN270" s="20"/>
      <c r="BO270" s="20"/>
      <c r="BP270" s="20"/>
      <c r="BQ270" s="20"/>
      <c r="BR270" s="20"/>
      <c r="BS270" s="20"/>
      <c r="BT270" s="20"/>
      <c r="BU270" s="44"/>
      <c r="BV270" s="44"/>
      <c r="BW270" s="44"/>
      <c r="BX270" s="44"/>
      <c r="BY270" s="44"/>
      <c r="BZ270" s="44"/>
      <c r="CA270" s="44"/>
      <c r="CB270" s="44"/>
      <c r="CC270" s="44"/>
      <c r="CD270" s="44"/>
      <c r="CE270" s="44"/>
      <c r="CF270" s="44"/>
      <c r="CG270" s="44"/>
      <c r="CH270" s="44"/>
      <c r="CI270" s="44"/>
      <c r="CJ270" s="44"/>
      <c r="CK270" s="44"/>
      <c r="CL270" s="44"/>
      <c r="CM270" s="44"/>
      <c r="CN270" s="44"/>
      <c r="CO270" s="44"/>
      <c r="CP270" s="44"/>
      <c r="CQ270" s="44"/>
      <c r="CR270" s="44"/>
      <c r="CS270" s="44"/>
      <c r="CT270" s="44"/>
      <c r="CU270" s="44"/>
      <c r="CV270" s="44"/>
      <c r="CW270" s="44"/>
      <c r="CX270" s="44"/>
      <c r="CY270" s="44"/>
      <c r="CZ270" s="44"/>
      <c r="DA270" s="44"/>
      <c r="DB270" s="44"/>
      <c r="DC270" s="44"/>
      <c r="DD270" s="44"/>
      <c r="DE270" s="44"/>
      <c r="DF270" s="44"/>
      <c r="DG270" s="44"/>
      <c r="DH270" s="44"/>
      <c r="DI270" s="44"/>
      <c r="DJ270" s="44"/>
      <c r="DK270" s="44"/>
      <c r="DL270" s="44"/>
      <c r="DM270" s="44"/>
      <c r="DN270" s="44"/>
      <c r="DO270" s="44"/>
      <c r="DP270" s="44"/>
      <c r="DQ270" s="44"/>
      <c r="DR270" s="44"/>
      <c r="DS270" s="44"/>
      <c r="DT270" s="44"/>
      <c r="DU270" s="44"/>
      <c r="DV270" s="44"/>
      <c r="DW270" s="44"/>
      <c r="DX270" s="44"/>
      <c r="DY270" s="44"/>
      <c r="DZ270" s="44"/>
      <c r="EA270" s="44"/>
      <c r="EB270" s="44"/>
      <c r="EC270" s="44"/>
      <c r="ED270" s="44"/>
      <c r="EE270" s="44"/>
      <c r="EF270" s="44"/>
      <c r="EG270" s="44"/>
    </row>
    <row r="271" spans="1:137">
      <c r="A271" s="14"/>
      <c r="B271" s="44"/>
      <c r="C271" s="44"/>
      <c r="D271" s="44"/>
      <c r="E271" s="44"/>
      <c r="F271" s="44"/>
      <c r="G271" s="44"/>
      <c r="H271" s="44"/>
      <c r="I271" s="44"/>
      <c r="J271" s="44"/>
      <c r="K271" s="44"/>
      <c r="L271" s="44"/>
      <c r="M271" s="44"/>
      <c r="N271" s="44"/>
      <c r="O271" s="44"/>
      <c r="P271" s="44"/>
      <c r="Q271" s="44"/>
      <c r="R271" s="44"/>
      <c r="S271" s="44"/>
      <c r="T271" s="20"/>
      <c r="U271" s="20"/>
      <c r="V271" s="20"/>
      <c r="W271" s="20"/>
      <c r="X271" s="20"/>
      <c r="Y271" s="20"/>
      <c r="Z271" s="20"/>
      <c r="AA271" s="20"/>
      <c r="AB271" s="20"/>
      <c r="AC271" s="20"/>
      <c r="AD271" s="20"/>
      <c r="AE271" s="20"/>
      <c r="AF271" s="20"/>
      <c r="AG271" s="20"/>
      <c r="AH271" s="20"/>
      <c r="AI271" s="20"/>
      <c r="AJ271" s="20"/>
      <c r="AK271" s="20"/>
      <c r="AL271" s="20"/>
      <c r="AM271" s="20"/>
      <c r="AN271" s="20"/>
      <c r="AO271" s="20"/>
      <c r="AP271" s="20"/>
      <c r="AQ271" s="20"/>
      <c r="AR271" s="20"/>
      <c r="AS271" s="20"/>
      <c r="AT271" s="20"/>
      <c r="AU271" s="20"/>
      <c r="AV271" s="20"/>
      <c r="AW271" s="20"/>
      <c r="AX271" s="20"/>
      <c r="AY271" s="20"/>
      <c r="AZ271" s="20"/>
      <c r="BA271" s="20"/>
      <c r="BB271" s="20"/>
      <c r="BC271" s="20"/>
      <c r="BD271" s="20"/>
      <c r="BE271" s="20"/>
      <c r="BF271" s="20"/>
      <c r="BG271" s="20"/>
      <c r="BH271" s="20"/>
      <c r="BI271" s="20"/>
      <c r="BJ271" s="20"/>
      <c r="BK271" s="20"/>
      <c r="BL271" s="20"/>
      <c r="BM271" s="20"/>
      <c r="BN271" s="20"/>
      <c r="BO271" s="20"/>
      <c r="BP271" s="20"/>
      <c r="BQ271" s="20"/>
      <c r="BR271" s="20"/>
      <c r="BS271" s="20"/>
      <c r="BT271" s="20"/>
      <c r="BU271" s="44"/>
      <c r="BV271" s="44"/>
      <c r="BW271" s="44"/>
      <c r="BX271" s="44"/>
      <c r="BY271" s="44"/>
      <c r="BZ271" s="44"/>
      <c r="CA271" s="44"/>
      <c r="CB271" s="44"/>
      <c r="CC271" s="44"/>
      <c r="CD271" s="44"/>
      <c r="CE271" s="44"/>
      <c r="CF271" s="44"/>
      <c r="CG271" s="44"/>
      <c r="CH271" s="44"/>
      <c r="CI271" s="44"/>
      <c r="CJ271" s="44"/>
      <c r="CK271" s="44"/>
      <c r="CL271" s="44"/>
      <c r="CM271" s="44"/>
      <c r="CN271" s="44"/>
      <c r="CO271" s="44"/>
      <c r="CP271" s="44"/>
      <c r="CQ271" s="44"/>
      <c r="CR271" s="44"/>
      <c r="CS271" s="44"/>
      <c r="CT271" s="44"/>
      <c r="CU271" s="44"/>
      <c r="CV271" s="44"/>
      <c r="CW271" s="44"/>
      <c r="CX271" s="44"/>
      <c r="CY271" s="44"/>
      <c r="CZ271" s="44"/>
      <c r="DA271" s="44"/>
      <c r="DB271" s="44"/>
      <c r="DC271" s="44"/>
      <c r="DD271" s="44"/>
      <c r="DE271" s="44"/>
      <c r="DF271" s="44"/>
      <c r="DG271" s="44"/>
      <c r="DH271" s="44"/>
      <c r="DI271" s="44"/>
      <c r="DJ271" s="44"/>
      <c r="DK271" s="44"/>
      <c r="DL271" s="44"/>
      <c r="DM271" s="44"/>
      <c r="DN271" s="44"/>
      <c r="DO271" s="44"/>
      <c r="DP271" s="44"/>
      <c r="DQ271" s="44"/>
      <c r="DR271" s="44"/>
      <c r="DS271" s="44"/>
      <c r="DT271" s="44"/>
      <c r="DU271" s="44"/>
      <c r="DV271" s="44"/>
      <c r="DW271" s="44"/>
      <c r="DX271" s="44"/>
      <c r="DY271" s="44"/>
      <c r="DZ271" s="44"/>
      <c r="EA271" s="44"/>
      <c r="EB271" s="44"/>
      <c r="EC271" s="44"/>
      <c r="ED271" s="44"/>
      <c r="EE271" s="44"/>
      <c r="EF271" s="44"/>
      <c r="EG271" s="44"/>
    </row>
    <row r="272" spans="1:137">
      <c r="A272" s="14"/>
      <c r="B272" s="44"/>
      <c r="C272" s="44"/>
      <c r="D272" s="44"/>
      <c r="E272" s="44"/>
      <c r="F272" s="44"/>
      <c r="G272" s="44"/>
      <c r="H272" s="44"/>
      <c r="I272" s="44"/>
      <c r="J272" s="44"/>
      <c r="K272" s="44"/>
      <c r="L272" s="44"/>
      <c r="M272" s="44"/>
      <c r="N272" s="44"/>
      <c r="O272" s="44"/>
      <c r="P272" s="44"/>
      <c r="Q272" s="44"/>
      <c r="R272" s="44"/>
      <c r="S272" s="44"/>
      <c r="T272" s="20"/>
      <c r="U272" s="20"/>
      <c r="V272" s="20"/>
      <c r="W272" s="20"/>
      <c r="X272" s="20"/>
      <c r="Y272" s="20"/>
      <c r="Z272" s="20"/>
      <c r="AA272" s="20"/>
      <c r="AB272" s="20"/>
      <c r="AC272" s="20"/>
      <c r="AD272" s="20"/>
      <c r="AE272" s="20"/>
      <c r="AF272" s="20"/>
      <c r="AG272" s="20"/>
      <c r="AH272" s="20"/>
      <c r="AI272" s="20"/>
      <c r="AJ272" s="20"/>
      <c r="AK272" s="20"/>
      <c r="AL272" s="20"/>
      <c r="AM272" s="20"/>
      <c r="AN272" s="20"/>
      <c r="AO272" s="20"/>
      <c r="AP272" s="20"/>
      <c r="AQ272" s="20"/>
      <c r="AR272" s="20"/>
      <c r="AS272" s="20"/>
      <c r="AT272" s="20"/>
      <c r="AU272" s="20"/>
      <c r="AV272" s="20"/>
      <c r="AW272" s="20"/>
      <c r="AX272" s="20"/>
      <c r="AY272" s="20"/>
      <c r="AZ272" s="20"/>
      <c r="BA272" s="20"/>
      <c r="BB272" s="20"/>
      <c r="BC272" s="20"/>
      <c r="BD272" s="20"/>
      <c r="BE272" s="20"/>
      <c r="BF272" s="20"/>
      <c r="BG272" s="20"/>
      <c r="BH272" s="20"/>
      <c r="BI272" s="20"/>
      <c r="BJ272" s="20"/>
      <c r="BK272" s="20"/>
      <c r="BL272" s="20"/>
      <c r="BM272" s="20"/>
      <c r="BN272" s="20"/>
      <c r="BO272" s="20"/>
      <c r="BP272" s="20"/>
      <c r="BQ272" s="20"/>
      <c r="BR272" s="20"/>
      <c r="BS272" s="20"/>
      <c r="BT272" s="20"/>
      <c r="BU272" s="44"/>
      <c r="BV272" s="44"/>
      <c r="BW272" s="44"/>
      <c r="BX272" s="44"/>
      <c r="BY272" s="44"/>
      <c r="BZ272" s="44"/>
      <c r="CA272" s="44"/>
      <c r="CB272" s="44"/>
      <c r="CC272" s="44"/>
      <c r="CD272" s="44"/>
      <c r="CE272" s="44"/>
      <c r="CF272" s="44"/>
      <c r="CG272" s="44"/>
      <c r="CH272" s="44"/>
      <c r="CI272" s="44"/>
      <c r="CJ272" s="44"/>
      <c r="CK272" s="44"/>
      <c r="CL272" s="44"/>
      <c r="CM272" s="44"/>
      <c r="CN272" s="44"/>
      <c r="CO272" s="44"/>
      <c r="CP272" s="44"/>
      <c r="CQ272" s="44"/>
      <c r="CR272" s="44"/>
      <c r="CS272" s="44"/>
      <c r="CT272" s="44"/>
      <c r="CU272" s="44"/>
      <c r="CV272" s="44"/>
      <c r="CW272" s="44"/>
      <c r="CX272" s="44"/>
      <c r="CY272" s="44"/>
      <c r="CZ272" s="44"/>
      <c r="DA272" s="44"/>
      <c r="DB272" s="44"/>
      <c r="DC272" s="44"/>
      <c r="DD272" s="44"/>
      <c r="DE272" s="44"/>
      <c r="DF272" s="44"/>
      <c r="DG272" s="44"/>
      <c r="DH272" s="44"/>
      <c r="DI272" s="44"/>
      <c r="DJ272" s="44"/>
      <c r="DK272" s="44"/>
      <c r="DL272" s="44"/>
      <c r="DM272" s="44"/>
      <c r="DN272" s="44"/>
      <c r="DO272" s="44"/>
      <c r="DP272" s="44"/>
      <c r="DQ272" s="44"/>
      <c r="DR272" s="44"/>
      <c r="DS272" s="44"/>
      <c r="DT272" s="44"/>
      <c r="DU272" s="44"/>
      <c r="DV272" s="44"/>
      <c r="DW272" s="44"/>
      <c r="DX272" s="44"/>
      <c r="DY272" s="44"/>
      <c r="DZ272" s="44"/>
      <c r="EA272" s="44"/>
      <c r="EB272" s="44"/>
      <c r="EC272" s="44"/>
      <c r="ED272" s="44"/>
      <c r="EE272" s="44"/>
      <c r="EF272" s="44"/>
      <c r="EG272" s="44"/>
    </row>
    <row r="273" spans="1:137">
      <c r="A273" s="14"/>
      <c r="B273" s="44"/>
      <c r="C273" s="44"/>
      <c r="D273" s="44"/>
      <c r="E273" s="44"/>
      <c r="F273" s="44"/>
      <c r="G273" s="44"/>
      <c r="H273" s="44"/>
      <c r="I273" s="44"/>
      <c r="J273" s="44"/>
      <c r="K273" s="44"/>
      <c r="L273" s="44"/>
      <c r="M273" s="44"/>
      <c r="N273" s="44"/>
      <c r="O273" s="44"/>
      <c r="P273" s="44"/>
      <c r="Q273" s="44"/>
      <c r="R273" s="44"/>
      <c r="S273" s="44"/>
      <c r="T273" s="20"/>
      <c r="U273" s="20"/>
      <c r="V273" s="20"/>
      <c r="W273" s="20"/>
      <c r="X273" s="20"/>
      <c r="Y273" s="20"/>
      <c r="Z273" s="20"/>
      <c r="AA273" s="20"/>
      <c r="AB273" s="20"/>
      <c r="AC273" s="20"/>
      <c r="AD273" s="20"/>
      <c r="AE273" s="20"/>
      <c r="AF273" s="20"/>
      <c r="AG273" s="20"/>
      <c r="AH273" s="20"/>
      <c r="AI273" s="20"/>
      <c r="AJ273" s="20"/>
      <c r="AK273" s="20"/>
      <c r="AL273" s="20"/>
      <c r="AM273" s="20"/>
      <c r="AN273" s="20"/>
      <c r="AO273" s="20"/>
      <c r="AP273" s="20"/>
      <c r="AQ273" s="20"/>
      <c r="AR273" s="20"/>
      <c r="AS273" s="20"/>
      <c r="AT273" s="20"/>
      <c r="AU273" s="20"/>
      <c r="AV273" s="20"/>
      <c r="AW273" s="20"/>
      <c r="AX273" s="20"/>
      <c r="AY273" s="20"/>
      <c r="AZ273" s="20"/>
      <c r="BA273" s="20"/>
      <c r="BB273" s="20"/>
      <c r="BC273" s="20"/>
      <c r="BD273" s="20"/>
      <c r="BE273" s="20"/>
      <c r="BF273" s="20"/>
      <c r="BG273" s="20"/>
      <c r="BH273" s="20"/>
      <c r="BI273" s="20"/>
      <c r="BJ273" s="20"/>
      <c r="BK273" s="20"/>
      <c r="BL273" s="20"/>
      <c r="BM273" s="20"/>
      <c r="BN273" s="20"/>
      <c r="BO273" s="20"/>
      <c r="BP273" s="20"/>
      <c r="BQ273" s="20"/>
      <c r="BR273" s="20"/>
      <c r="BS273" s="20"/>
      <c r="BT273" s="20"/>
      <c r="BU273" s="44"/>
      <c r="BV273" s="44"/>
      <c r="BW273" s="44"/>
      <c r="BX273" s="44"/>
      <c r="BY273" s="44"/>
      <c r="BZ273" s="44"/>
      <c r="CA273" s="44"/>
      <c r="CB273" s="44"/>
      <c r="CC273" s="44"/>
      <c r="CD273" s="44"/>
      <c r="CE273" s="44"/>
      <c r="CF273" s="44"/>
      <c r="CG273" s="44"/>
      <c r="CH273" s="44"/>
      <c r="CI273" s="44"/>
      <c r="CJ273" s="44"/>
      <c r="CK273" s="44"/>
      <c r="CL273" s="44"/>
      <c r="CM273" s="44"/>
      <c r="CN273" s="44"/>
      <c r="CO273" s="44"/>
      <c r="CP273" s="44"/>
      <c r="CQ273" s="44"/>
      <c r="CR273" s="44"/>
      <c r="CS273" s="44"/>
      <c r="CT273" s="44"/>
      <c r="CU273" s="44"/>
      <c r="CV273" s="44"/>
      <c r="CW273" s="44"/>
      <c r="CX273" s="44"/>
      <c r="CY273" s="44"/>
      <c r="CZ273" s="44"/>
      <c r="DA273" s="44"/>
      <c r="DB273" s="44"/>
      <c r="DC273" s="44"/>
      <c r="DD273" s="44"/>
      <c r="DE273" s="44"/>
      <c r="DF273" s="44"/>
      <c r="DG273" s="44"/>
      <c r="DH273" s="44"/>
      <c r="DI273" s="44"/>
      <c r="DJ273" s="44"/>
      <c r="DK273" s="44"/>
      <c r="DL273" s="44"/>
      <c r="DM273" s="44"/>
      <c r="DN273" s="44"/>
      <c r="DO273" s="44"/>
      <c r="DP273" s="44"/>
      <c r="DQ273" s="44"/>
      <c r="DR273" s="44"/>
      <c r="DS273" s="44"/>
      <c r="DT273" s="44"/>
      <c r="DU273" s="44"/>
      <c r="DV273" s="44"/>
      <c r="DW273" s="44"/>
      <c r="DX273" s="44"/>
      <c r="DY273" s="44"/>
      <c r="DZ273" s="44"/>
      <c r="EA273" s="44"/>
      <c r="EB273" s="44"/>
      <c r="EC273" s="44"/>
      <c r="ED273" s="44"/>
      <c r="EE273" s="44"/>
      <c r="EF273" s="44"/>
      <c r="EG273" s="44"/>
    </row>
    <row r="274" spans="1:137">
      <c r="A274" s="14"/>
      <c r="B274" s="44"/>
      <c r="C274" s="44"/>
      <c r="D274" s="44"/>
      <c r="E274" s="44"/>
      <c r="F274" s="44"/>
      <c r="G274" s="44"/>
      <c r="H274" s="44"/>
      <c r="I274" s="44"/>
      <c r="J274" s="44"/>
      <c r="K274" s="44"/>
      <c r="L274" s="44"/>
      <c r="M274" s="44"/>
      <c r="N274" s="44"/>
      <c r="O274" s="44"/>
      <c r="P274" s="44"/>
      <c r="Q274" s="44"/>
      <c r="R274" s="44"/>
      <c r="S274" s="44"/>
      <c r="T274" s="20"/>
      <c r="U274" s="20"/>
      <c r="V274" s="20"/>
      <c r="W274" s="20"/>
      <c r="X274" s="20"/>
      <c r="Y274" s="20"/>
      <c r="Z274" s="20"/>
      <c r="AA274" s="20"/>
      <c r="AB274" s="20"/>
      <c r="AC274" s="20"/>
      <c r="AD274" s="20"/>
      <c r="AE274" s="20"/>
      <c r="AF274" s="20"/>
      <c r="AG274" s="20"/>
      <c r="AH274" s="20"/>
      <c r="AI274" s="20"/>
      <c r="AJ274" s="20"/>
      <c r="AK274" s="20"/>
      <c r="AL274" s="20"/>
      <c r="AM274" s="20"/>
      <c r="AN274" s="20"/>
      <c r="AO274" s="20"/>
      <c r="AP274" s="20"/>
      <c r="AQ274" s="20"/>
      <c r="AR274" s="20"/>
      <c r="AS274" s="20"/>
      <c r="AT274" s="20"/>
      <c r="AU274" s="20"/>
      <c r="AV274" s="20"/>
      <c r="AW274" s="20"/>
      <c r="AX274" s="20"/>
      <c r="AY274" s="20"/>
      <c r="AZ274" s="20"/>
      <c r="BA274" s="20"/>
      <c r="BB274" s="20"/>
      <c r="BC274" s="20"/>
      <c r="BD274" s="20"/>
      <c r="BE274" s="20"/>
      <c r="BF274" s="20"/>
      <c r="BG274" s="20"/>
      <c r="BH274" s="20"/>
      <c r="BI274" s="20"/>
      <c r="BJ274" s="20"/>
      <c r="BK274" s="20"/>
      <c r="BL274" s="20"/>
      <c r="BM274" s="20"/>
      <c r="BN274" s="20"/>
      <c r="BO274" s="20"/>
      <c r="BP274" s="20"/>
      <c r="BQ274" s="20"/>
      <c r="BR274" s="20"/>
      <c r="BS274" s="20"/>
      <c r="BT274" s="20"/>
      <c r="BU274" s="44"/>
      <c r="BV274" s="44"/>
      <c r="BW274" s="44"/>
      <c r="BX274" s="44"/>
      <c r="BY274" s="44"/>
      <c r="BZ274" s="44"/>
      <c r="CA274" s="44"/>
      <c r="CB274" s="44"/>
      <c r="CC274" s="44"/>
      <c r="CD274" s="44"/>
      <c r="CE274" s="44"/>
      <c r="CF274" s="44"/>
      <c r="CG274" s="44"/>
      <c r="CH274" s="44"/>
      <c r="CI274" s="44"/>
      <c r="CJ274" s="44"/>
      <c r="CK274" s="44"/>
      <c r="CL274" s="44"/>
      <c r="CM274" s="44"/>
      <c r="CN274" s="44"/>
      <c r="CO274" s="44"/>
      <c r="CP274" s="44"/>
      <c r="CQ274" s="44"/>
      <c r="CR274" s="44"/>
      <c r="CS274" s="44"/>
      <c r="CT274" s="44"/>
      <c r="CU274" s="44"/>
      <c r="CV274" s="44"/>
      <c r="CW274" s="44"/>
      <c r="CX274" s="44"/>
      <c r="CY274" s="44"/>
      <c r="CZ274" s="44"/>
      <c r="DA274" s="44"/>
      <c r="DB274" s="44"/>
      <c r="DC274" s="44"/>
      <c r="DD274" s="44"/>
      <c r="DE274" s="44"/>
      <c r="DF274" s="44"/>
      <c r="DG274" s="44"/>
      <c r="DH274" s="44"/>
      <c r="DI274" s="44"/>
      <c r="DJ274" s="44"/>
      <c r="DK274" s="44"/>
      <c r="DL274" s="44"/>
      <c r="DM274" s="44"/>
      <c r="DN274" s="44"/>
      <c r="DO274" s="44"/>
      <c r="DP274" s="44"/>
      <c r="DQ274" s="44"/>
      <c r="DR274" s="44"/>
      <c r="DS274" s="44"/>
      <c r="DT274" s="44"/>
      <c r="DU274" s="44"/>
      <c r="DV274" s="44"/>
      <c r="DW274" s="44"/>
      <c r="DX274" s="44"/>
      <c r="DY274" s="44"/>
      <c r="DZ274" s="44"/>
      <c r="EA274" s="44"/>
      <c r="EB274" s="44"/>
      <c r="EC274" s="44"/>
      <c r="ED274" s="44"/>
      <c r="EE274" s="44"/>
      <c r="EF274" s="44"/>
      <c r="EG274" s="44"/>
    </row>
    <row r="275" spans="1:137">
      <c r="A275" s="14"/>
      <c r="B275" s="44"/>
      <c r="C275" s="44"/>
      <c r="D275" s="44"/>
      <c r="E275" s="44"/>
      <c r="F275" s="44"/>
      <c r="G275" s="44"/>
      <c r="H275" s="44"/>
      <c r="I275" s="44"/>
      <c r="J275" s="44"/>
      <c r="K275" s="44"/>
      <c r="L275" s="44"/>
      <c r="M275" s="44"/>
      <c r="N275" s="44"/>
      <c r="O275" s="44"/>
      <c r="P275" s="44"/>
      <c r="Q275" s="44"/>
      <c r="R275" s="44"/>
      <c r="S275" s="44"/>
      <c r="T275" s="20"/>
      <c r="U275" s="20"/>
      <c r="V275" s="20"/>
      <c r="W275" s="20"/>
      <c r="X275" s="20"/>
      <c r="Y275" s="20"/>
      <c r="Z275" s="20"/>
      <c r="AA275" s="20"/>
      <c r="AB275" s="20"/>
      <c r="AC275" s="20"/>
      <c r="AD275" s="20"/>
      <c r="AE275" s="20"/>
      <c r="AF275" s="20"/>
      <c r="AG275" s="20"/>
      <c r="AH275" s="20"/>
      <c r="AI275" s="20"/>
      <c r="AJ275" s="20"/>
      <c r="AK275" s="20"/>
      <c r="AL275" s="20"/>
      <c r="AM275" s="20"/>
      <c r="AN275" s="20"/>
      <c r="AO275" s="20"/>
      <c r="AP275" s="20"/>
      <c r="AQ275" s="20"/>
      <c r="AR275" s="20"/>
      <c r="AS275" s="20"/>
      <c r="AT275" s="20"/>
      <c r="AU275" s="20"/>
      <c r="AV275" s="20"/>
      <c r="AW275" s="20"/>
      <c r="AX275" s="20"/>
      <c r="AY275" s="20"/>
      <c r="AZ275" s="20"/>
      <c r="BA275" s="20"/>
      <c r="BB275" s="20"/>
      <c r="BC275" s="20"/>
      <c r="BD275" s="20"/>
      <c r="BE275" s="20"/>
      <c r="BF275" s="20"/>
      <c r="BG275" s="20"/>
      <c r="BH275" s="20"/>
      <c r="BI275" s="20"/>
      <c r="BJ275" s="20"/>
      <c r="BK275" s="20"/>
      <c r="BL275" s="20"/>
      <c r="BM275" s="20"/>
      <c r="BN275" s="20"/>
      <c r="BO275" s="20"/>
      <c r="BP275" s="20"/>
      <c r="BQ275" s="20"/>
      <c r="BR275" s="20"/>
      <c r="BS275" s="20"/>
      <c r="BT275" s="20"/>
      <c r="BU275" s="44"/>
      <c r="BV275" s="44"/>
      <c r="BW275" s="44"/>
      <c r="BX275" s="44"/>
      <c r="BY275" s="44"/>
      <c r="BZ275" s="44"/>
      <c r="CA275" s="44"/>
      <c r="CB275" s="44"/>
      <c r="CC275" s="44"/>
      <c r="CD275" s="44"/>
      <c r="CE275" s="44"/>
      <c r="CF275" s="44"/>
      <c r="CG275" s="44"/>
      <c r="CH275" s="44"/>
      <c r="CI275" s="44"/>
      <c r="CJ275" s="44"/>
      <c r="CK275" s="44"/>
      <c r="CL275" s="44"/>
      <c r="CM275" s="44"/>
      <c r="CN275" s="44"/>
      <c r="CO275" s="44"/>
      <c r="CP275" s="44"/>
      <c r="CQ275" s="44"/>
      <c r="CR275" s="44"/>
      <c r="CS275" s="44"/>
      <c r="CT275" s="44"/>
      <c r="CU275" s="44"/>
      <c r="CV275" s="44"/>
      <c r="CW275" s="44"/>
      <c r="CX275" s="44"/>
      <c r="CY275" s="44"/>
      <c r="CZ275" s="44"/>
      <c r="DA275" s="44"/>
      <c r="DB275" s="44"/>
      <c r="DC275" s="44"/>
      <c r="DD275" s="44"/>
      <c r="DE275" s="44"/>
      <c r="DF275" s="44"/>
      <c r="DG275" s="44"/>
      <c r="DH275" s="44"/>
      <c r="DI275" s="44"/>
      <c r="DJ275" s="44"/>
      <c r="DK275" s="44"/>
      <c r="DL275" s="44"/>
      <c r="DM275" s="44"/>
      <c r="DN275" s="44"/>
      <c r="DO275" s="44"/>
      <c r="DP275" s="44"/>
      <c r="DQ275" s="44"/>
      <c r="DR275" s="44"/>
      <c r="DS275" s="44"/>
      <c r="DT275" s="44"/>
      <c r="DU275" s="44"/>
      <c r="DV275" s="44"/>
      <c r="DW275" s="44"/>
      <c r="DX275" s="44"/>
      <c r="DY275" s="44"/>
      <c r="DZ275" s="44"/>
      <c r="EA275" s="44"/>
      <c r="EB275" s="44"/>
      <c r="EC275" s="44"/>
      <c r="ED275" s="44"/>
      <c r="EE275" s="44"/>
      <c r="EF275" s="44"/>
      <c r="EG275" s="44"/>
    </row>
    <row r="276" spans="1:137">
      <c r="A276" s="14"/>
      <c r="B276" s="44"/>
      <c r="C276" s="44"/>
      <c r="D276" s="44"/>
      <c r="E276" s="44"/>
      <c r="F276" s="44"/>
      <c r="G276" s="44"/>
      <c r="H276" s="44"/>
      <c r="I276" s="44"/>
      <c r="J276" s="44"/>
      <c r="K276" s="44"/>
      <c r="L276" s="44"/>
      <c r="M276" s="44"/>
      <c r="N276" s="44"/>
      <c r="O276" s="44"/>
      <c r="P276" s="44"/>
      <c r="Q276" s="44"/>
      <c r="R276" s="44"/>
      <c r="S276" s="44"/>
      <c r="T276" s="20"/>
      <c r="U276" s="20"/>
      <c r="V276" s="20"/>
      <c r="W276" s="20"/>
      <c r="X276" s="20"/>
      <c r="Y276" s="20"/>
      <c r="Z276" s="20"/>
      <c r="AA276" s="20"/>
      <c r="AB276" s="20"/>
      <c r="AC276" s="20"/>
      <c r="AD276" s="20"/>
      <c r="AE276" s="20"/>
      <c r="AF276" s="20"/>
      <c r="AG276" s="20"/>
      <c r="AH276" s="20"/>
      <c r="AI276" s="20"/>
      <c r="AJ276" s="20"/>
      <c r="AK276" s="20"/>
      <c r="AL276" s="20"/>
      <c r="AM276" s="20"/>
      <c r="AN276" s="20"/>
      <c r="AO276" s="20"/>
      <c r="AP276" s="20"/>
      <c r="AQ276" s="20"/>
      <c r="AR276" s="20"/>
      <c r="AS276" s="20"/>
      <c r="AT276" s="20"/>
      <c r="AU276" s="20"/>
      <c r="AV276" s="20"/>
      <c r="AW276" s="20"/>
      <c r="AX276" s="20"/>
      <c r="AY276" s="20"/>
      <c r="AZ276" s="20"/>
      <c r="BA276" s="20"/>
      <c r="BB276" s="20"/>
      <c r="BC276" s="20"/>
      <c r="BD276" s="20"/>
      <c r="BE276" s="20"/>
      <c r="BF276" s="20"/>
      <c r="BG276" s="20"/>
      <c r="BH276" s="20"/>
      <c r="BI276" s="20"/>
      <c r="BJ276" s="20"/>
      <c r="BK276" s="20"/>
      <c r="BL276" s="20"/>
      <c r="BM276" s="20"/>
      <c r="BN276" s="20"/>
      <c r="BO276" s="20"/>
      <c r="BP276" s="20"/>
      <c r="BQ276" s="20"/>
      <c r="BR276" s="20"/>
      <c r="BS276" s="20"/>
      <c r="BT276" s="20"/>
      <c r="BU276" s="44"/>
      <c r="BV276" s="44"/>
      <c r="BW276" s="44"/>
      <c r="BX276" s="44"/>
      <c r="BY276" s="44"/>
      <c r="BZ276" s="44"/>
      <c r="CA276" s="44"/>
      <c r="CB276" s="44"/>
      <c r="CC276" s="44"/>
      <c r="CD276" s="44"/>
      <c r="CE276" s="44"/>
      <c r="CF276" s="44"/>
      <c r="CG276" s="44"/>
      <c r="CH276" s="44"/>
      <c r="CI276" s="44"/>
      <c r="CJ276" s="44"/>
      <c r="CK276" s="44"/>
      <c r="CL276" s="44"/>
      <c r="CM276" s="44"/>
      <c r="CN276" s="44"/>
      <c r="CO276" s="44"/>
      <c r="CP276" s="44"/>
      <c r="CQ276" s="44"/>
      <c r="CR276" s="44"/>
      <c r="CS276" s="44"/>
      <c r="CT276" s="44"/>
      <c r="CU276" s="44"/>
      <c r="CV276" s="44"/>
      <c r="CW276" s="44"/>
      <c r="CX276" s="44"/>
      <c r="CY276" s="44"/>
      <c r="CZ276" s="44"/>
      <c r="DA276" s="44"/>
      <c r="DB276" s="44"/>
      <c r="DC276" s="44"/>
      <c r="DD276" s="44"/>
      <c r="DE276" s="44"/>
      <c r="DF276" s="44"/>
      <c r="DG276" s="44"/>
      <c r="DH276" s="44"/>
      <c r="DI276" s="44"/>
      <c r="DJ276" s="44"/>
      <c r="DK276" s="44"/>
      <c r="DL276" s="44"/>
      <c r="DM276" s="44"/>
      <c r="DN276" s="44"/>
      <c r="DO276" s="44"/>
      <c r="DP276" s="44"/>
      <c r="DQ276" s="44"/>
      <c r="DR276" s="44"/>
      <c r="DS276" s="44"/>
      <c r="DT276" s="44"/>
      <c r="DU276" s="44"/>
      <c r="DV276" s="44"/>
      <c r="DW276" s="44"/>
      <c r="DX276" s="44"/>
      <c r="DY276" s="44"/>
      <c r="DZ276" s="44"/>
      <c r="EA276" s="44"/>
      <c r="EB276" s="44"/>
      <c r="EC276" s="44"/>
      <c r="ED276" s="44"/>
      <c r="EE276" s="44"/>
      <c r="EF276" s="44"/>
      <c r="EG276" s="44"/>
    </row>
    <row r="277" spans="1:137">
      <c r="A277" s="14"/>
      <c r="B277" s="44"/>
      <c r="C277" s="44"/>
      <c r="D277" s="44"/>
      <c r="E277" s="44"/>
      <c r="F277" s="44"/>
      <c r="G277" s="44"/>
      <c r="H277" s="44"/>
      <c r="I277" s="44"/>
      <c r="J277" s="44"/>
      <c r="K277" s="44"/>
      <c r="L277" s="44"/>
      <c r="M277" s="44"/>
      <c r="N277" s="44"/>
      <c r="O277" s="44"/>
      <c r="P277" s="44"/>
      <c r="Q277" s="44"/>
      <c r="R277" s="44"/>
      <c r="S277" s="44"/>
      <c r="T277" s="20"/>
      <c r="U277" s="20"/>
      <c r="V277" s="20"/>
      <c r="W277" s="20"/>
      <c r="X277" s="20"/>
      <c r="Y277" s="20"/>
      <c r="Z277" s="20"/>
      <c r="AA277" s="20"/>
      <c r="AB277" s="20"/>
      <c r="AC277" s="20"/>
      <c r="AD277" s="20"/>
      <c r="AE277" s="20"/>
      <c r="AF277" s="20"/>
      <c r="AG277" s="20"/>
      <c r="AH277" s="20"/>
      <c r="AI277" s="20"/>
      <c r="AJ277" s="20"/>
      <c r="AK277" s="20"/>
      <c r="AL277" s="20"/>
      <c r="AM277" s="20"/>
      <c r="AN277" s="20"/>
      <c r="AO277" s="20"/>
      <c r="AP277" s="20"/>
      <c r="AQ277" s="20"/>
      <c r="AR277" s="20"/>
      <c r="AS277" s="20"/>
      <c r="AT277" s="20"/>
      <c r="AU277" s="20"/>
      <c r="AV277" s="20"/>
      <c r="AW277" s="20"/>
      <c r="AX277" s="20"/>
      <c r="AY277" s="20"/>
      <c r="AZ277" s="20"/>
      <c r="BA277" s="20"/>
      <c r="BB277" s="20"/>
      <c r="BC277" s="20"/>
      <c r="BD277" s="20"/>
      <c r="BE277" s="20"/>
      <c r="BF277" s="20"/>
      <c r="BG277" s="20"/>
      <c r="BH277" s="20"/>
      <c r="BI277" s="20"/>
      <c r="BJ277" s="20"/>
      <c r="BK277" s="20"/>
      <c r="BL277" s="20"/>
      <c r="BM277" s="20"/>
      <c r="BN277" s="20"/>
      <c r="BO277" s="20"/>
      <c r="BP277" s="20"/>
      <c r="BQ277" s="20"/>
      <c r="BR277" s="20"/>
      <c r="BS277" s="20"/>
      <c r="BT277" s="20"/>
      <c r="BU277" s="44"/>
      <c r="BV277" s="44"/>
      <c r="BW277" s="44"/>
      <c r="BX277" s="44"/>
      <c r="BY277" s="44"/>
      <c r="BZ277" s="44"/>
      <c r="CA277" s="44"/>
      <c r="CB277" s="44"/>
      <c r="CC277" s="44"/>
      <c r="CD277" s="44"/>
      <c r="CE277" s="44"/>
      <c r="CF277" s="44"/>
      <c r="CG277" s="44"/>
      <c r="CH277" s="44"/>
      <c r="CI277" s="44"/>
      <c r="CJ277" s="44"/>
      <c r="CK277" s="44"/>
      <c r="CL277" s="44"/>
      <c r="CM277" s="44"/>
      <c r="CN277" s="44"/>
      <c r="CO277" s="44"/>
      <c r="CP277" s="44"/>
      <c r="CQ277" s="44"/>
      <c r="CR277" s="44"/>
      <c r="CS277" s="44"/>
      <c r="CT277" s="44"/>
      <c r="CU277" s="44"/>
      <c r="CV277" s="44"/>
      <c r="CW277" s="44"/>
      <c r="CX277" s="44"/>
      <c r="CY277" s="44"/>
      <c r="CZ277" s="44"/>
      <c r="DA277" s="44"/>
      <c r="DB277" s="44"/>
      <c r="DC277" s="44"/>
      <c r="DD277" s="44"/>
      <c r="DE277" s="44"/>
      <c r="DF277" s="44"/>
      <c r="DG277" s="44"/>
      <c r="DH277" s="44"/>
      <c r="DI277" s="44"/>
      <c r="DJ277" s="44"/>
      <c r="DK277" s="44"/>
      <c r="DL277" s="44"/>
      <c r="DM277" s="44"/>
      <c r="DN277" s="44"/>
      <c r="DO277" s="44"/>
      <c r="DP277" s="44"/>
      <c r="DQ277" s="44"/>
      <c r="DR277" s="44"/>
      <c r="DS277" s="44"/>
      <c r="DT277" s="44"/>
      <c r="DU277" s="44"/>
      <c r="DV277" s="44"/>
      <c r="DW277" s="44"/>
      <c r="DX277" s="44"/>
      <c r="DY277" s="44"/>
      <c r="DZ277" s="44"/>
      <c r="EA277" s="44"/>
      <c r="EB277" s="44"/>
      <c r="EC277" s="44"/>
      <c r="ED277" s="44"/>
      <c r="EE277" s="44"/>
      <c r="EF277" s="44"/>
      <c r="EG277" s="44"/>
    </row>
    <row r="278" spans="1:137">
      <c r="A278" s="14"/>
      <c r="B278" s="44"/>
      <c r="C278" s="44"/>
      <c r="D278" s="44"/>
      <c r="E278" s="44"/>
      <c r="F278" s="44"/>
      <c r="G278" s="44"/>
      <c r="H278" s="44"/>
      <c r="I278" s="44"/>
      <c r="J278" s="44"/>
      <c r="K278" s="44"/>
      <c r="L278" s="44"/>
      <c r="M278" s="44"/>
      <c r="N278" s="44"/>
      <c r="O278" s="44"/>
      <c r="P278" s="44"/>
      <c r="Q278" s="44"/>
      <c r="R278" s="44"/>
      <c r="S278" s="44"/>
      <c r="T278" s="20"/>
      <c r="U278" s="20"/>
      <c r="V278" s="20"/>
      <c r="W278" s="20"/>
      <c r="X278" s="20"/>
      <c r="Y278" s="20"/>
      <c r="Z278" s="20"/>
      <c r="AA278" s="20"/>
      <c r="AB278" s="20"/>
      <c r="AC278" s="20"/>
      <c r="AD278" s="20"/>
      <c r="AE278" s="20"/>
      <c r="AF278" s="20"/>
      <c r="AG278" s="20"/>
      <c r="AH278" s="20"/>
      <c r="AI278" s="20"/>
      <c r="AJ278" s="20"/>
      <c r="AK278" s="20"/>
      <c r="AL278" s="20"/>
      <c r="AM278" s="20"/>
      <c r="AN278" s="20"/>
      <c r="AO278" s="20"/>
      <c r="AP278" s="20"/>
      <c r="AQ278" s="20"/>
      <c r="AR278" s="20"/>
      <c r="AS278" s="20"/>
      <c r="AT278" s="20"/>
      <c r="AU278" s="20"/>
      <c r="AV278" s="20"/>
      <c r="AW278" s="20"/>
      <c r="AX278" s="20"/>
      <c r="AY278" s="20"/>
      <c r="AZ278" s="20"/>
      <c r="BA278" s="20"/>
      <c r="BB278" s="20"/>
      <c r="BC278" s="20"/>
      <c r="BD278" s="20"/>
      <c r="BE278" s="20"/>
      <c r="BF278" s="20"/>
      <c r="BG278" s="20"/>
      <c r="BH278" s="20"/>
      <c r="BI278" s="20"/>
      <c r="BJ278" s="20"/>
      <c r="BK278" s="20"/>
      <c r="BL278" s="20"/>
      <c r="BM278" s="20"/>
      <c r="BN278" s="20"/>
      <c r="BO278" s="20"/>
      <c r="BP278" s="20"/>
      <c r="BQ278" s="20"/>
      <c r="BR278" s="20"/>
      <c r="BS278" s="20"/>
      <c r="BT278" s="20"/>
      <c r="BU278" s="44"/>
      <c r="BV278" s="44"/>
      <c r="BW278" s="44"/>
      <c r="BX278" s="44"/>
      <c r="BY278" s="44"/>
      <c r="BZ278" s="44"/>
      <c r="CA278" s="44"/>
      <c r="CB278" s="44"/>
      <c r="CC278" s="44"/>
      <c r="CD278" s="44"/>
      <c r="CE278" s="44"/>
      <c r="CF278" s="44"/>
      <c r="CG278" s="44"/>
      <c r="CH278" s="44"/>
      <c r="CI278" s="44"/>
      <c r="CJ278" s="44"/>
      <c r="CK278" s="44"/>
      <c r="CL278" s="44"/>
      <c r="CM278" s="44"/>
      <c r="CN278" s="44"/>
      <c r="CO278" s="44"/>
      <c r="CP278" s="44"/>
      <c r="CQ278" s="44"/>
      <c r="CR278" s="44"/>
      <c r="CS278" s="44"/>
      <c r="CT278" s="44"/>
      <c r="CU278" s="44"/>
      <c r="CV278" s="44"/>
      <c r="CW278" s="44"/>
      <c r="CX278" s="44"/>
      <c r="CY278" s="44"/>
      <c r="CZ278" s="44"/>
      <c r="DA278" s="44"/>
      <c r="DB278" s="44"/>
      <c r="DC278" s="44"/>
      <c r="DD278" s="44"/>
      <c r="DE278" s="44"/>
      <c r="DF278" s="44"/>
      <c r="DG278" s="44"/>
      <c r="DH278" s="44"/>
      <c r="DI278" s="44"/>
      <c r="DJ278" s="44"/>
      <c r="DK278" s="44"/>
      <c r="DL278" s="44"/>
      <c r="DM278" s="44"/>
      <c r="DN278" s="44"/>
      <c r="DO278" s="44"/>
      <c r="DP278" s="44"/>
      <c r="DQ278" s="44"/>
      <c r="DR278" s="44"/>
      <c r="DS278" s="44"/>
      <c r="DT278" s="44"/>
      <c r="DU278" s="44"/>
      <c r="DV278" s="44"/>
      <c r="DW278" s="44"/>
      <c r="DX278" s="44"/>
      <c r="DY278" s="44"/>
      <c r="DZ278" s="44"/>
      <c r="EA278" s="44"/>
      <c r="EB278" s="44"/>
      <c r="EC278" s="44"/>
      <c r="ED278" s="44"/>
      <c r="EE278" s="44"/>
      <c r="EF278" s="44"/>
      <c r="EG278" s="44"/>
    </row>
    <row r="279" spans="1:137">
      <c r="A279" s="14"/>
      <c r="B279" s="44"/>
      <c r="C279" s="44"/>
      <c r="D279" s="44"/>
      <c r="E279" s="44"/>
      <c r="F279" s="44"/>
      <c r="G279" s="44"/>
      <c r="H279" s="44"/>
      <c r="I279" s="44"/>
      <c r="J279" s="44"/>
      <c r="K279" s="44"/>
      <c r="L279" s="44"/>
      <c r="M279" s="44"/>
      <c r="N279" s="44"/>
      <c r="O279" s="44"/>
      <c r="P279" s="44"/>
      <c r="Q279" s="44"/>
      <c r="R279" s="44"/>
      <c r="S279" s="44"/>
      <c r="T279" s="20"/>
      <c r="U279" s="20"/>
      <c r="V279" s="20"/>
      <c r="W279" s="20"/>
      <c r="X279" s="20"/>
      <c r="Y279" s="20"/>
      <c r="Z279" s="20"/>
      <c r="AA279" s="20"/>
      <c r="AB279" s="20"/>
      <c r="AC279" s="20"/>
      <c r="AD279" s="20"/>
      <c r="AE279" s="20"/>
      <c r="AF279" s="20"/>
      <c r="AG279" s="20"/>
      <c r="AH279" s="20"/>
      <c r="AI279" s="20"/>
      <c r="AJ279" s="20"/>
      <c r="AK279" s="20"/>
      <c r="AL279" s="20"/>
      <c r="AM279" s="20"/>
      <c r="AN279" s="20"/>
      <c r="AO279" s="20"/>
      <c r="AP279" s="20"/>
      <c r="AQ279" s="20"/>
      <c r="AR279" s="20"/>
      <c r="AS279" s="20"/>
      <c r="AT279" s="20"/>
      <c r="AU279" s="20"/>
      <c r="AV279" s="20"/>
      <c r="AW279" s="20"/>
      <c r="AX279" s="20"/>
      <c r="AY279" s="20"/>
      <c r="AZ279" s="20"/>
      <c r="BA279" s="20"/>
      <c r="BB279" s="20"/>
      <c r="BC279" s="20"/>
      <c r="BD279" s="20"/>
      <c r="BE279" s="20"/>
      <c r="BF279" s="20"/>
      <c r="BG279" s="20"/>
      <c r="BH279" s="20"/>
      <c r="BI279" s="20"/>
      <c r="BJ279" s="20"/>
      <c r="BK279" s="20"/>
      <c r="BL279" s="20"/>
      <c r="BM279" s="20"/>
      <c r="BN279" s="20"/>
      <c r="BO279" s="20"/>
      <c r="BP279" s="20"/>
      <c r="BQ279" s="20"/>
      <c r="BR279" s="20"/>
      <c r="BS279" s="20"/>
      <c r="BT279" s="20"/>
      <c r="BU279" s="44"/>
      <c r="BV279" s="44"/>
      <c r="BW279" s="44"/>
      <c r="BX279" s="44"/>
      <c r="BY279" s="44"/>
      <c r="BZ279" s="44"/>
      <c r="CA279" s="44"/>
      <c r="CB279" s="44"/>
      <c r="CC279" s="44"/>
      <c r="CD279" s="44"/>
      <c r="CE279" s="44"/>
      <c r="CF279" s="44"/>
      <c r="CG279" s="44"/>
      <c r="CH279" s="44"/>
      <c r="CI279" s="44"/>
      <c r="CJ279" s="44"/>
      <c r="CK279" s="44"/>
      <c r="CL279" s="44"/>
      <c r="CM279" s="44"/>
      <c r="CN279" s="44"/>
      <c r="CO279" s="44"/>
      <c r="CP279" s="44"/>
      <c r="CQ279" s="44"/>
      <c r="CR279" s="44"/>
      <c r="CS279" s="44"/>
      <c r="CT279" s="44"/>
      <c r="CU279" s="44"/>
      <c r="CV279" s="44"/>
      <c r="CW279" s="44"/>
      <c r="CX279" s="44"/>
      <c r="CY279" s="44"/>
      <c r="CZ279" s="44"/>
      <c r="DA279" s="44"/>
      <c r="DB279" s="44"/>
      <c r="DC279" s="44"/>
      <c r="DD279" s="44"/>
      <c r="DE279" s="44"/>
      <c r="DF279" s="44"/>
      <c r="DG279" s="44"/>
      <c r="DH279" s="44"/>
      <c r="DI279" s="44"/>
      <c r="DJ279" s="44"/>
      <c r="DK279" s="44"/>
      <c r="DL279" s="44"/>
      <c r="DM279" s="44"/>
      <c r="DN279" s="44"/>
      <c r="DO279" s="44"/>
      <c r="DP279" s="44"/>
      <c r="DQ279" s="44"/>
      <c r="DR279" s="44"/>
      <c r="DS279" s="44"/>
      <c r="DT279" s="44"/>
      <c r="DU279" s="44"/>
      <c r="DV279" s="44"/>
      <c r="DW279" s="44"/>
      <c r="DX279" s="44"/>
      <c r="DY279" s="44"/>
      <c r="DZ279" s="44"/>
      <c r="EA279" s="44"/>
      <c r="EB279" s="44"/>
      <c r="EC279" s="44"/>
      <c r="ED279" s="44"/>
      <c r="EE279" s="44"/>
      <c r="EF279" s="44"/>
      <c r="EG279" s="44"/>
    </row>
    <row r="280" spans="1:137">
      <c r="A280" s="14"/>
      <c r="B280" s="44"/>
      <c r="C280" s="44"/>
      <c r="D280" s="44"/>
      <c r="E280" s="44"/>
      <c r="F280" s="44"/>
      <c r="G280" s="44"/>
      <c r="H280" s="44"/>
      <c r="I280" s="44"/>
      <c r="J280" s="44"/>
      <c r="K280" s="44"/>
      <c r="L280" s="44"/>
      <c r="M280" s="44"/>
      <c r="N280" s="44"/>
      <c r="O280" s="44"/>
      <c r="P280" s="44"/>
      <c r="Q280" s="44"/>
      <c r="R280" s="44"/>
      <c r="S280" s="44"/>
      <c r="T280" s="20"/>
      <c r="U280" s="20"/>
      <c r="V280" s="20"/>
      <c r="W280" s="20"/>
      <c r="X280" s="20"/>
      <c r="Y280" s="20"/>
      <c r="Z280" s="20"/>
      <c r="AA280" s="20"/>
      <c r="AB280" s="20"/>
      <c r="AC280" s="20"/>
      <c r="AD280" s="20"/>
      <c r="AE280" s="20"/>
      <c r="AF280" s="20"/>
      <c r="AG280" s="20"/>
      <c r="AH280" s="20"/>
      <c r="AI280" s="20"/>
      <c r="AJ280" s="20"/>
      <c r="AK280" s="20"/>
      <c r="AL280" s="20"/>
      <c r="AM280" s="20"/>
      <c r="AN280" s="20"/>
      <c r="AO280" s="20"/>
      <c r="AP280" s="20"/>
      <c r="AQ280" s="20"/>
      <c r="AR280" s="20"/>
      <c r="AS280" s="20"/>
      <c r="AT280" s="20"/>
      <c r="AU280" s="20"/>
      <c r="AV280" s="20"/>
      <c r="AW280" s="20"/>
      <c r="AX280" s="20"/>
      <c r="AY280" s="20"/>
      <c r="AZ280" s="20"/>
      <c r="BA280" s="20"/>
      <c r="BB280" s="20"/>
      <c r="BC280" s="20"/>
      <c r="BD280" s="20"/>
      <c r="BE280" s="20"/>
      <c r="BF280" s="20"/>
      <c r="BG280" s="20"/>
      <c r="BH280" s="20"/>
      <c r="BI280" s="20"/>
      <c r="BJ280" s="20"/>
      <c r="BK280" s="20"/>
      <c r="BL280" s="20"/>
      <c r="BM280" s="20"/>
      <c r="BN280" s="20"/>
      <c r="BO280" s="20"/>
      <c r="BP280" s="20"/>
      <c r="BQ280" s="20"/>
      <c r="BR280" s="20"/>
      <c r="BS280" s="20"/>
      <c r="BT280" s="20"/>
      <c r="BU280" s="44"/>
      <c r="BV280" s="44"/>
      <c r="BW280" s="44"/>
      <c r="BX280" s="44"/>
      <c r="BY280" s="44"/>
      <c r="BZ280" s="44"/>
      <c r="CA280" s="44"/>
      <c r="CB280" s="44"/>
      <c r="CC280" s="44"/>
      <c r="CD280" s="44"/>
      <c r="CE280" s="44"/>
      <c r="CF280" s="44"/>
      <c r="CG280" s="44"/>
      <c r="CH280" s="44"/>
      <c r="CI280" s="44"/>
      <c r="CJ280" s="44"/>
      <c r="CK280" s="44"/>
      <c r="CL280" s="44"/>
      <c r="CM280" s="44"/>
      <c r="CN280" s="44"/>
      <c r="CO280" s="44"/>
      <c r="CP280" s="44"/>
      <c r="CQ280" s="44"/>
      <c r="CR280" s="44"/>
      <c r="CS280" s="44"/>
      <c r="CT280" s="44"/>
      <c r="CU280" s="44"/>
      <c r="CV280" s="44"/>
      <c r="CW280" s="44"/>
      <c r="CX280" s="44"/>
      <c r="CY280" s="44"/>
      <c r="CZ280" s="44"/>
      <c r="DA280" s="44"/>
      <c r="DB280" s="44"/>
      <c r="DC280" s="44"/>
      <c r="DD280" s="44"/>
      <c r="DE280" s="44"/>
      <c r="DF280" s="44"/>
      <c r="DG280" s="44"/>
      <c r="DH280" s="44"/>
      <c r="DI280" s="44"/>
      <c r="DJ280" s="44"/>
      <c r="DK280" s="44"/>
      <c r="DL280" s="44"/>
      <c r="DM280" s="44"/>
      <c r="DN280" s="44"/>
      <c r="DO280" s="44"/>
      <c r="DP280" s="44"/>
      <c r="DQ280" s="44"/>
      <c r="DR280" s="44"/>
      <c r="DS280" s="44"/>
      <c r="DT280" s="44"/>
      <c r="DU280" s="44"/>
      <c r="DV280" s="44"/>
      <c r="DW280" s="44"/>
      <c r="DX280" s="44"/>
      <c r="DY280" s="44"/>
      <c r="DZ280" s="44"/>
      <c r="EA280" s="44"/>
      <c r="EB280" s="44"/>
      <c r="EC280" s="44"/>
      <c r="ED280" s="44"/>
      <c r="EE280" s="44"/>
      <c r="EF280" s="44"/>
      <c r="EG280" s="44"/>
    </row>
    <row r="281" spans="1:137">
      <c r="A281" s="14"/>
      <c r="B281" s="44"/>
      <c r="C281" s="44"/>
      <c r="D281" s="44"/>
      <c r="E281" s="44"/>
      <c r="F281" s="44"/>
      <c r="G281" s="44"/>
      <c r="H281" s="44"/>
      <c r="I281" s="44"/>
      <c r="J281" s="44"/>
      <c r="K281" s="44"/>
      <c r="L281" s="44"/>
      <c r="M281" s="44"/>
      <c r="N281" s="44"/>
      <c r="O281" s="44"/>
      <c r="P281" s="44"/>
      <c r="Q281" s="44"/>
      <c r="R281" s="44"/>
      <c r="S281" s="44"/>
      <c r="T281" s="20"/>
      <c r="U281" s="20"/>
      <c r="V281" s="20"/>
      <c r="W281" s="20"/>
      <c r="X281" s="20"/>
      <c r="Y281" s="20"/>
      <c r="Z281" s="20"/>
      <c r="AA281" s="20"/>
      <c r="AB281" s="20"/>
      <c r="AC281" s="20"/>
      <c r="AD281" s="20"/>
      <c r="AE281" s="20"/>
      <c r="AF281" s="20"/>
      <c r="AG281" s="20"/>
      <c r="AH281" s="20"/>
      <c r="AI281" s="20"/>
      <c r="AJ281" s="20"/>
      <c r="AK281" s="20"/>
      <c r="AL281" s="20"/>
      <c r="AM281" s="20"/>
      <c r="AN281" s="20"/>
      <c r="AO281" s="20"/>
      <c r="AP281" s="20"/>
      <c r="AQ281" s="20"/>
      <c r="AR281" s="20"/>
      <c r="AS281" s="20"/>
      <c r="AT281" s="20"/>
      <c r="AU281" s="20"/>
      <c r="AV281" s="20"/>
      <c r="AW281" s="20"/>
      <c r="AX281" s="20"/>
      <c r="AY281" s="20"/>
      <c r="AZ281" s="20"/>
      <c r="BA281" s="20"/>
      <c r="BB281" s="20"/>
      <c r="BC281" s="20"/>
      <c r="BD281" s="20"/>
      <c r="BE281" s="20"/>
      <c r="BF281" s="20"/>
      <c r="BG281" s="20"/>
      <c r="BH281" s="20"/>
      <c r="BI281" s="20"/>
      <c r="BJ281" s="20"/>
      <c r="BK281" s="20"/>
      <c r="BL281" s="20"/>
      <c r="BM281" s="20"/>
      <c r="BN281" s="20"/>
      <c r="BO281" s="20"/>
      <c r="BP281" s="20"/>
      <c r="BQ281" s="20"/>
      <c r="BR281" s="20"/>
      <c r="BS281" s="20"/>
      <c r="BT281" s="20"/>
      <c r="BU281" s="44"/>
      <c r="BV281" s="44"/>
      <c r="BW281" s="44"/>
      <c r="BX281" s="44"/>
      <c r="BY281" s="44"/>
      <c r="BZ281" s="44"/>
      <c r="CA281" s="44"/>
      <c r="CB281" s="44"/>
      <c r="CC281" s="44"/>
      <c r="CD281" s="44"/>
      <c r="CE281" s="44"/>
      <c r="CF281" s="44"/>
      <c r="CG281" s="44"/>
      <c r="CH281" s="44"/>
      <c r="CI281" s="44"/>
      <c r="CJ281" s="44"/>
      <c r="CK281" s="44"/>
      <c r="CL281" s="44"/>
      <c r="CM281" s="44"/>
      <c r="CN281" s="44"/>
      <c r="CO281" s="44"/>
      <c r="CP281" s="44"/>
      <c r="CQ281" s="44"/>
      <c r="CR281" s="44"/>
      <c r="CS281" s="44"/>
      <c r="CT281" s="44"/>
      <c r="CU281" s="44"/>
      <c r="CV281" s="44"/>
      <c r="CW281" s="44"/>
      <c r="CX281" s="44"/>
      <c r="CY281" s="44"/>
      <c r="CZ281" s="44"/>
      <c r="DA281" s="44"/>
      <c r="DB281" s="44"/>
      <c r="DC281" s="44"/>
      <c r="DD281" s="44"/>
      <c r="DE281" s="44"/>
      <c r="DF281" s="44"/>
      <c r="DG281" s="44"/>
      <c r="DH281" s="44"/>
      <c r="DI281" s="44"/>
      <c r="DJ281" s="44"/>
      <c r="DK281" s="44"/>
      <c r="DL281" s="44"/>
      <c r="DM281" s="44"/>
      <c r="DN281" s="44"/>
      <c r="DO281" s="44"/>
      <c r="DP281" s="44"/>
      <c r="DQ281" s="44"/>
      <c r="DR281" s="44"/>
      <c r="DS281" s="44"/>
      <c r="DT281" s="44"/>
      <c r="DU281" s="44"/>
      <c r="DV281" s="44"/>
      <c r="DW281" s="44"/>
      <c r="DX281" s="44"/>
      <c r="DY281" s="44"/>
      <c r="DZ281" s="44"/>
      <c r="EA281" s="44"/>
      <c r="EB281" s="44"/>
      <c r="EC281" s="44"/>
      <c r="ED281" s="44"/>
      <c r="EE281" s="44"/>
      <c r="EF281" s="44"/>
      <c r="EG281" s="44"/>
    </row>
    <row r="282" spans="1:137">
      <c r="A282" s="14"/>
      <c r="B282" s="44"/>
      <c r="C282" s="44"/>
      <c r="D282" s="44"/>
      <c r="E282" s="44"/>
      <c r="F282" s="44"/>
      <c r="G282" s="44"/>
      <c r="H282" s="44"/>
      <c r="I282" s="44"/>
      <c r="J282" s="44"/>
      <c r="K282" s="44"/>
      <c r="L282" s="44"/>
      <c r="M282" s="44"/>
      <c r="N282" s="44"/>
      <c r="O282" s="44"/>
      <c r="P282" s="44"/>
      <c r="Q282" s="44"/>
      <c r="R282" s="44"/>
      <c r="S282" s="44"/>
      <c r="T282" s="20"/>
      <c r="U282" s="20"/>
      <c r="V282" s="20"/>
      <c r="W282" s="20"/>
      <c r="X282" s="20"/>
      <c r="Y282" s="20"/>
      <c r="Z282" s="20"/>
      <c r="AA282" s="20"/>
      <c r="AB282" s="20"/>
      <c r="AC282" s="20"/>
      <c r="AD282" s="20"/>
      <c r="AE282" s="20"/>
      <c r="AF282" s="20"/>
      <c r="AG282" s="20"/>
      <c r="AH282" s="20"/>
      <c r="AI282" s="20"/>
      <c r="AJ282" s="20"/>
      <c r="AK282" s="20"/>
      <c r="AL282" s="20"/>
      <c r="AM282" s="20"/>
      <c r="AN282" s="20"/>
      <c r="AO282" s="20"/>
      <c r="AP282" s="20"/>
      <c r="AQ282" s="20"/>
      <c r="AR282" s="20"/>
      <c r="AS282" s="20"/>
      <c r="AT282" s="20"/>
      <c r="AU282" s="20"/>
      <c r="AV282" s="20"/>
      <c r="AW282" s="20"/>
      <c r="AX282" s="20"/>
      <c r="AY282" s="20"/>
      <c r="AZ282" s="20"/>
      <c r="BA282" s="20"/>
      <c r="BB282" s="20"/>
      <c r="BC282" s="20"/>
      <c r="BD282" s="20"/>
      <c r="BE282" s="20"/>
      <c r="BF282" s="20"/>
      <c r="BG282" s="20"/>
      <c r="BH282" s="20"/>
      <c r="BI282" s="20"/>
      <c r="BJ282" s="20"/>
      <c r="BK282" s="20"/>
      <c r="BL282" s="20"/>
      <c r="BM282" s="20"/>
      <c r="BN282" s="20"/>
      <c r="BO282" s="20"/>
      <c r="BP282" s="20"/>
      <c r="BQ282" s="20"/>
      <c r="BR282" s="20"/>
      <c r="BS282" s="20"/>
      <c r="BT282" s="20"/>
      <c r="BU282" s="44"/>
      <c r="BV282" s="44"/>
      <c r="BW282" s="44"/>
      <c r="BX282" s="44"/>
      <c r="BY282" s="44"/>
      <c r="BZ282" s="44"/>
      <c r="CA282" s="44"/>
      <c r="CB282" s="44"/>
      <c r="CC282" s="44"/>
      <c r="CD282" s="44"/>
      <c r="CE282" s="44"/>
      <c r="CF282" s="44"/>
      <c r="CG282" s="44"/>
      <c r="CH282" s="44"/>
      <c r="CI282" s="44"/>
      <c r="CJ282" s="44"/>
      <c r="CK282" s="44"/>
      <c r="CL282" s="44"/>
      <c r="CM282" s="44"/>
      <c r="CN282" s="44"/>
      <c r="CO282" s="44"/>
      <c r="CP282" s="44"/>
      <c r="CQ282" s="44"/>
      <c r="CR282" s="44"/>
      <c r="CS282" s="44"/>
      <c r="CT282" s="44"/>
      <c r="CU282" s="44"/>
      <c r="CV282" s="44"/>
      <c r="CW282" s="44"/>
      <c r="CX282" s="44"/>
      <c r="CY282" s="44"/>
      <c r="CZ282" s="44"/>
      <c r="DA282" s="44"/>
      <c r="DB282" s="44"/>
      <c r="DC282" s="44"/>
      <c r="DD282" s="44"/>
      <c r="DE282" s="44"/>
      <c r="DF282" s="44"/>
      <c r="DG282" s="44"/>
      <c r="DH282" s="44"/>
      <c r="DI282" s="44"/>
      <c r="DJ282" s="44"/>
      <c r="DK282" s="44"/>
      <c r="DL282" s="44"/>
      <c r="DM282" s="44"/>
      <c r="DN282" s="44"/>
      <c r="DO282" s="44"/>
      <c r="DP282" s="44"/>
      <c r="DQ282" s="44"/>
      <c r="DR282" s="44"/>
      <c r="DS282" s="44"/>
      <c r="DT282" s="44"/>
      <c r="DU282" s="44"/>
      <c r="DV282" s="44"/>
      <c r="DW282" s="44"/>
      <c r="DX282" s="44"/>
      <c r="DY282" s="44"/>
      <c r="DZ282" s="44"/>
      <c r="EA282" s="44"/>
      <c r="EB282" s="44"/>
      <c r="EC282" s="44"/>
      <c r="ED282" s="44"/>
      <c r="EE282" s="44"/>
      <c r="EF282" s="44"/>
      <c r="EG282" s="44"/>
    </row>
    <row r="283" spans="1:137">
      <c r="A283" s="14"/>
      <c r="B283" s="44"/>
      <c r="C283" s="44"/>
      <c r="D283" s="44"/>
      <c r="E283" s="44"/>
      <c r="F283" s="44"/>
      <c r="G283" s="44"/>
      <c r="H283" s="44"/>
      <c r="I283" s="44"/>
      <c r="J283" s="44"/>
      <c r="K283" s="44"/>
      <c r="L283" s="44"/>
      <c r="M283" s="44"/>
      <c r="N283" s="44"/>
      <c r="O283" s="44"/>
      <c r="P283" s="44"/>
      <c r="Q283" s="44"/>
      <c r="R283" s="44"/>
      <c r="S283" s="44"/>
      <c r="T283" s="20"/>
      <c r="U283" s="20"/>
      <c r="V283" s="20"/>
      <c r="W283" s="20"/>
      <c r="X283" s="20"/>
      <c r="Y283" s="20"/>
      <c r="Z283" s="20"/>
      <c r="AA283" s="20"/>
      <c r="AB283" s="20"/>
      <c r="AC283" s="20"/>
      <c r="AD283" s="20"/>
      <c r="AE283" s="20"/>
      <c r="AF283" s="20"/>
      <c r="AG283" s="20"/>
      <c r="AH283" s="20"/>
      <c r="AI283" s="20"/>
      <c r="AJ283" s="20"/>
      <c r="AK283" s="20"/>
      <c r="AL283" s="20"/>
      <c r="AM283" s="20"/>
      <c r="AN283" s="20"/>
      <c r="AO283" s="20"/>
      <c r="AP283" s="20"/>
      <c r="AQ283" s="20"/>
      <c r="AR283" s="20"/>
      <c r="AS283" s="20"/>
      <c r="AT283" s="20"/>
      <c r="AU283" s="20"/>
      <c r="AV283" s="20"/>
      <c r="AW283" s="20"/>
      <c r="AX283" s="20"/>
      <c r="AY283" s="20"/>
      <c r="AZ283" s="20"/>
      <c r="BA283" s="20"/>
      <c r="BB283" s="20"/>
      <c r="BC283" s="20"/>
      <c r="BD283" s="20"/>
      <c r="BE283" s="20"/>
      <c r="BF283" s="20"/>
      <c r="BG283" s="20"/>
      <c r="BH283" s="20"/>
      <c r="BI283" s="20"/>
      <c r="BJ283" s="20"/>
      <c r="BK283" s="20"/>
      <c r="BL283" s="20"/>
      <c r="BM283" s="20"/>
      <c r="BN283" s="20"/>
      <c r="BO283" s="20"/>
      <c r="BP283" s="20"/>
      <c r="BQ283" s="20"/>
      <c r="BR283" s="20"/>
      <c r="BS283" s="20"/>
      <c r="BT283" s="20"/>
      <c r="BU283" s="44"/>
      <c r="BV283" s="44"/>
      <c r="BW283" s="44"/>
      <c r="BX283" s="44"/>
      <c r="BY283" s="44"/>
      <c r="BZ283" s="44"/>
      <c r="CA283" s="44"/>
      <c r="CB283" s="44"/>
      <c r="CC283" s="44"/>
      <c r="CD283" s="44"/>
      <c r="CE283" s="44"/>
      <c r="CF283" s="44"/>
      <c r="CG283" s="44"/>
      <c r="CH283" s="44"/>
      <c r="CI283" s="44"/>
      <c r="CJ283" s="44"/>
      <c r="CK283" s="44"/>
      <c r="CL283" s="44"/>
      <c r="CM283" s="44"/>
      <c r="CN283" s="44"/>
      <c r="CO283" s="44"/>
      <c r="CP283" s="44"/>
      <c r="CQ283" s="44"/>
      <c r="CR283" s="44"/>
      <c r="CS283" s="44"/>
      <c r="CT283" s="44"/>
      <c r="CU283" s="44"/>
      <c r="CV283" s="44"/>
      <c r="CW283" s="44"/>
      <c r="CX283" s="44"/>
      <c r="CY283" s="44"/>
      <c r="CZ283" s="44"/>
      <c r="DA283" s="44"/>
      <c r="DB283" s="44"/>
      <c r="DC283" s="44"/>
      <c r="DD283" s="44"/>
      <c r="DE283" s="44"/>
      <c r="DF283" s="44"/>
      <c r="DG283" s="44"/>
      <c r="DH283" s="44"/>
      <c r="DI283" s="44"/>
      <c r="DJ283" s="44"/>
      <c r="DK283" s="44"/>
      <c r="DL283" s="44"/>
      <c r="DM283" s="44"/>
      <c r="DN283" s="44"/>
      <c r="DO283" s="44"/>
      <c r="DP283" s="44"/>
      <c r="DQ283" s="44"/>
      <c r="DR283" s="44"/>
      <c r="DS283" s="44"/>
      <c r="DT283" s="44"/>
      <c r="DU283" s="44"/>
      <c r="DV283" s="44"/>
      <c r="DW283" s="44"/>
      <c r="DX283" s="44"/>
      <c r="DY283" s="44"/>
      <c r="DZ283" s="44"/>
      <c r="EA283" s="44"/>
      <c r="EB283" s="44"/>
      <c r="EC283" s="44"/>
      <c r="ED283" s="44"/>
      <c r="EE283" s="44"/>
      <c r="EF283" s="44"/>
      <c r="EG283" s="44"/>
    </row>
    <row r="284" spans="1:137">
      <c r="A284" s="14"/>
      <c r="B284" s="44"/>
      <c r="C284" s="44"/>
      <c r="D284" s="44"/>
      <c r="E284" s="44"/>
      <c r="F284" s="44"/>
      <c r="G284" s="44"/>
      <c r="H284" s="44"/>
      <c r="I284" s="44"/>
      <c r="J284" s="44"/>
      <c r="K284" s="44"/>
      <c r="L284" s="44"/>
      <c r="M284" s="44"/>
      <c r="N284" s="44"/>
      <c r="O284" s="44"/>
      <c r="P284" s="44"/>
      <c r="Q284" s="44"/>
      <c r="R284" s="44"/>
      <c r="S284" s="44"/>
      <c r="T284" s="20"/>
      <c r="U284" s="20"/>
      <c r="V284" s="20"/>
      <c r="W284" s="20"/>
      <c r="X284" s="20"/>
      <c r="Y284" s="20"/>
      <c r="Z284" s="20"/>
      <c r="AA284" s="20"/>
      <c r="AB284" s="20"/>
      <c r="AC284" s="20"/>
      <c r="AD284" s="20"/>
      <c r="AE284" s="20"/>
      <c r="AF284" s="20"/>
      <c r="AG284" s="20"/>
      <c r="AH284" s="20"/>
      <c r="AI284" s="20"/>
      <c r="AJ284" s="20"/>
      <c r="AK284" s="20"/>
      <c r="AL284" s="20"/>
      <c r="AM284" s="20"/>
      <c r="AN284" s="20"/>
      <c r="AO284" s="20"/>
      <c r="AP284" s="20"/>
      <c r="AQ284" s="20"/>
      <c r="AR284" s="20"/>
      <c r="AS284" s="20"/>
      <c r="AT284" s="20"/>
      <c r="AU284" s="20"/>
      <c r="AV284" s="20"/>
      <c r="AW284" s="20"/>
      <c r="AX284" s="20"/>
      <c r="AY284" s="20"/>
      <c r="AZ284" s="20"/>
      <c r="BA284" s="20"/>
      <c r="BB284" s="20"/>
      <c r="BC284" s="20"/>
      <c r="BD284" s="20"/>
      <c r="BE284" s="20"/>
      <c r="BF284" s="20"/>
      <c r="BG284" s="20"/>
      <c r="BH284" s="20"/>
      <c r="BI284" s="20"/>
      <c r="BJ284" s="20"/>
      <c r="BK284" s="20"/>
      <c r="BL284" s="20"/>
      <c r="BM284" s="20"/>
      <c r="BN284" s="20"/>
      <c r="BO284" s="20"/>
      <c r="BP284" s="20"/>
      <c r="BQ284" s="20"/>
      <c r="BR284" s="20"/>
      <c r="BS284" s="20"/>
      <c r="BT284" s="20"/>
      <c r="BU284" s="44"/>
      <c r="BV284" s="44"/>
      <c r="BW284" s="44"/>
      <c r="BX284" s="44"/>
      <c r="BY284" s="44"/>
      <c r="BZ284" s="44"/>
      <c r="CA284" s="44"/>
      <c r="CB284" s="44"/>
      <c r="CC284" s="44"/>
      <c r="CD284" s="44"/>
      <c r="CE284" s="44"/>
      <c r="CF284" s="44"/>
      <c r="CG284" s="44"/>
      <c r="CH284" s="44"/>
      <c r="CI284" s="44"/>
      <c r="CJ284" s="44"/>
      <c r="CK284" s="44"/>
      <c r="CL284" s="44"/>
      <c r="CM284" s="44"/>
      <c r="CN284" s="44"/>
      <c r="CO284" s="44"/>
      <c r="CP284" s="44"/>
      <c r="CQ284" s="44"/>
      <c r="CR284" s="44"/>
      <c r="CS284" s="44"/>
      <c r="CT284" s="44"/>
      <c r="CU284" s="44"/>
      <c r="CV284" s="44"/>
      <c r="CW284" s="44"/>
      <c r="CX284" s="44"/>
      <c r="CY284" s="44"/>
      <c r="CZ284" s="44"/>
      <c r="DA284" s="44"/>
      <c r="DB284" s="44"/>
      <c r="DC284" s="44"/>
      <c r="DD284" s="44"/>
      <c r="DE284" s="44"/>
      <c r="DF284" s="44"/>
      <c r="DG284" s="44"/>
      <c r="DH284" s="44"/>
      <c r="DI284" s="44"/>
      <c r="DJ284" s="44"/>
      <c r="DK284" s="44"/>
      <c r="DL284" s="44"/>
      <c r="DM284" s="44"/>
      <c r="DN284" s="44"/>
      <c r="DO284" s="44"/>
      <c r="DP284" s="44"/>
      <c r="DQ284" s="44"/>
      <c r="DR284" s="44"/>
      <c r="DS284" s="44"/>
      <c r="DT284" s="44"/>
      <c r="DU284" s="44"/>
      <c r="DV284" s="44"/>
      <c r="DW284" s="44"/>
      <c r="DX284" s="44"/>
      <c r="DY284" s="44"/>
      <c r="DZ284" s="44"/>
      <c r="EA284" s="44"/>
      <c r="EB284" s="44"/>
      <c r="EC284" s="44"/>
      <c r="ED284" s="44"/>
      <c r="EE284" s="44"/>
      <c r="EF284" s="44"/>
      <c r="EG284" s="44"/>
    </row>
    <row r="285" spans="1:137">
      <c r="A285" s="14"/>
      <c r="B285" s="44"/>
      <c r="C285" s="44"/>
      <c r="D285" s="44"/>
      <c r="E285" s="44"/>
      <c r="F285" s="44"/>
      <c r="G285" s="44"/>
      <c r="H285" s="44"/>
      <c r="I285" s="44"/>
      <c r="J285" s="44"/>
      <c r="K285" s="44"/>
      <c r="L285" s="44"/>
      <c r="M285" s="44"/>
      <c r="N285" s="44"/>
      <c r="O285" s="44"/>
      <c r="P285" s="44"/>
      <c r="Q285" s="44"/>
      <c r="R285" s="44"/>
      <c r="S285" s="44"/>
      <c r="T285" s="20"/>
      <c r="U285" s="20"/>
      <c r="V285" s="20"/>
      <c r="W285" s="20"/>
      <c r="X285" s="20"/>
      <c r="Y285" s="20"/>
      <c r="Z285" s="20"/>
      <c r="AA285" s="20"/>
      <c r="AB285" s="20"/>
      <c r="AC285" s="20"/>
      <c r="AD285" s="20"/>
      <c r="AE285" s="20"/>
      <c r="AF285" s="20"/>
      <c r="AG285" s="20"/>
      <c r="AH285" s="20"/>
      <c r="AI285" s="20"/>
      <c r="AJ285" s="20"/>
      <c r="AK285" s="20"/>
      <c r="AL285" s="20"/>
      <c r="AM285" s="20"/>
      <c r="AN285" s="20"/>
      <c r="AO285" s="20"/>
      <c r="AP285" s="20"/>
      <c r="AQ285" s="20"/>
      <c r="AR285" s="20"/>
      <c r="AS285" s="20"/>
      <c r="AT285" s="20"/>
      <c r="AU285" s="20"/>
      <c r="AV285" s="20"/>
      <c r="AW285" s="20"/>
      <c r="AX285" s="20"/>
      <c r="AY285" s="20"/>
      <c r="AZ285" s="20"/>
      <c r="BA285" s="20"/>
      <c r="BB285" s="20"/>
      <c r="BC285" s="20"/>
      <c r="BD285" s="20"/>
      <c r="BE285" s="20"/>
      <c r="BF285" s="20"/>
      <c r="BG285" s="20"/>
      <c r="BH285" s="20"/>
      <c r="BI285" s="20"/>
      <c r="BJ285" s="20"/>
      <c r="BK285" s="20"/>
      <c r="BL285" s="20"/>
      <c r="BM285" s="20"/>
      <c r="BN285" s="20"/>
      <c r="BO285" s="20"/>
      <c r="BP285" s="20"/>
      <c r="BQ285" s="20"/>
      <c r="BR285" s="20"/>
      <c r="BS285" s="20"/>
      <c r="BT285" s="20"/>
      <c r="BU285" s="44"/>
      <c r="BV285" s="44"/>
      <c r="BW285" s="44"/>
      <c r="BX285" s="44"/>
      <c r="BY285" s="44"/>
      <c r="BZ285" s="44"/>
      <c r="CA285" s="44"/>
      <c r="CB285" s="44"/>
      <c r="CC285" s="44"/>
      <c r="CD285" s="44"/>
      <c r="CE285" s="44"/>
      <c r="CF285" s="44"/>
      <c r="CG285" s="44"/>
      <c r="CH285" s="44"/>
      <c r="CI285" s="44"/>
      <c r="CJ285" s="44"/>
      <c r="CK285" s="44"/>
      <c r="CL285" s="44"/>
      <c r="CM285" s="44"/>
      <c r="CN285" s="44"/>
      <c r="CO285" s="44"/>
      <c r="CP285" s="44"/>
      <c r="CQ285" s="44"/>
      <c r="CR285" s="44"/>
      <c r="CS285" s="44"/>
      <c r="CT285" s="44"/>
      <c r="CU285" s="44"/>
      <c r="CV285" s="44"/>
      <c r="CW285" s="44"/>
      <c r="CX285" s="44"/>
      <c r="CY285" s="44"/>
      <c r="CZ285" s="44"/>
      <c r="DA285" s="44"/>
      <c r="DB285" s="44"/>
      <c r="DC285" s="44"/>
      <c r="DD285" s="44"/>
      <c r="DE285" s="44"/>
      <c r="DF285" s="44"/>
      <c r="DG285" s="44"/>
      <c r="DH285" s="44"/>
      <c r="DI285" s="44"/>
      <c r="DJ285" s="44"/>
      <c r="DK285" s="44"/>
      <c r="DL285" s="44"/>
      <c r="DM285" s="44"/>
      <c r="DN285" s="44"/>
      <c r="DO285" s="44"/>
      <c r="DP285" s="44"/>
      <c r="DQ285" s="44"/>
      <c r="DR285" s="44"/>
      <c r="DS285" s="44"/>
      <c r="DT285" s="44"/>
      <c r="DU285" s="44"/>
      <c r="DV285" s="44"/>
      <c r="DW285" s="44"/>
      <c r="DX285" s="44"/>
      <c r="DY285" s="44"/>
      <c r="DZ285" s="44"/>
      <c r="EA285" s="44"/>
      <c r="EB285" s="44"/>
      <c r="EC285" s="44"/>
      <c r="ED285" s="44"/>
      <c r="EE285" s="44"/>
      <c r="EF285" s="44"/>
      <c r="EG285" s="44"/>
    </row>
    <row r="286" spans="1:137">
      <c r="A286" s="14"/>
      <c r="B286" s="44"/>
      <c r="C286" s="44"/>
      <c r="D286" s="44"/>
      <c r="E286" s="44"/>
      <c r="F286" s="44"/>
      <c r="G286" s="44"/>
      <c r="H286" s="44"/>
      <c r="I286" s="44"/>
      <c r="J286" s="44"/>
      <c r="K286" s="44"/>
      <c r="L286" s="44"/>
      <c r="M286" s="44"/>
      <c r="N286" s="44"/>
      <c r="O286" s="44"/>
      <c r="P286" s="44"/>
      <c r="Q286" s="44"/>
      <c r="R286" s="44"/>
      <c r="S286" s="44"/>
      <c r="T286" s="20"/>
      <c r="U286" s="20"/>
      <c r="V286" s="20"/>
      <c r="W286" s="20"/>
      <c r="X286" s="20"/>
      <c r="Y286" s="20"/>
      <c r="Z286" s="20"/>
      <c r="AA286" s="20"/>
      <c r="AB286" s="20"/>
      <c r="AC286" s="20"/>
      <c r="AD286" s="20"/>
      <c r="AE286" s="20"/>
      <c r="AF286" s="20"/>
      <c r="AG286" s="20"/>
      <c r="AH286" s="20"/>
      <c r="AI286" s="20"/>
      <c r="AJ286" s="20"/>
      <c r="AK286" s="20"/>
      <c r="AL286" s="20"/>
      <c r="AM286" s="20"/>
      <c r="AN286" s="20"/>
      <c r="AO286" s="20"/>
      <c r="AP286" s="20"/>
      <c r="AQ286" s="20"/>
      <c r="AR286" s="20"/>
      <c r="AS286" s="20"/>
      <c r="AT286" s="20"/>
      <c r="AU286" s="20"/>
      <c r="AV286" s="20"/>
      <c r="AW286" s="20"/>
      <c r="AX286" s="20"/>
      <c r="AY286" s="20"/>
      <c r="AZ286" s="20"/>
      <c r="BA286" s="20"/>
      <c r="BB286" s="20"/>
      <c r="BC286" s="20"/>
      <c r="BD286" s="20"/>
      <c r="BE286" s="20"/>
      <c r="BF286" s="20"/>
      <c r="BG286" s="20"/>
      <c r="BH286" s="20"/>
      <c r="BI286" s="20"/>
      <c r="BJ286" s="20"/>
      <c r="BK286" s="20"/>
      <c r="BL286" s="20"/>
      <c r="BM286" s="20"/>
      <c r="BN286" s="20"/>
      <c r="BO286" s="20"/>
      <c r="BP286" s="20"/>
      <c r="BQ286" s="20"/>
      <c r="BR286" s="20"/>
      <c r="BS286" s="20"/>
      <c r="BT286" s="20"/>
      <c r="BU286" s="44"/>
      <c r="BV286" s="44"/>
      <c r="BW286" s="44"/>
      <c r="BX286" s="44"/>
      <c r="BY286" s="44"/>
      <c r="BZ286" s="44"/>
      <c r="CA286" s="44"/>
      <c r="CB286" s="44"/>
      <c r="CC286" s="44"/>
      <c r="CD286" s="44"/>
      <c r="CE286" s="44"/>
      <c r="CF286" s="44"/>
      <c r="CG286" s="44"/>
      <c r="CH286" s="44"/>
      <c r="CI286" s="44"/>
      <c r="CJ286" s="44"/>
      <c r="CK286" s="44"/>
      <c r="CL286" s="44"/>
      <c r="CM286" s="44"/>
      <c r="CN286" s="44"/>
      <c r="CO286" s="44"/>
      <c r="CP286" s="44"/>
      <c r="CQ286" s="44"/>
      <c r="CR286" s="44"/>
      <c r="CS286" s="44"/>
      <c r="CT286" s="44"/>
      <c r="CU286" s="44"/>
      <c r="CV286" s="44"/>
      <c r="CW286" s="44"/>
      <c r="CX286" s="44"/>
      <c r="CY286" s="44"/>
      <c r="CZ286" s="44"/>
      <c r="DA286" s="44"/>
      <c r="DB286" s="44"/>
      <c r="DC286" s="44"/>
      <c r="DD286" s="44"/>
      <c r="DE286" s="44"/>
      <c r="DF286" s="44"/>
      <c r="DG286" s="44"/>
      <c r="DH286" s="44"/>
      <c r="DI286" s="44"/>
      <c r="DJ286" s="44"/>
      <c r="DK286" s="44"/>
      <c r="DL286" s="44"/>
      <c r="DM286" s="44"/>
      <c r="DN286" s="44"/>
      <c r="DO286" s="44"/>
      <c r="DP286" s="44"/>
      <c r="DQ286" s="44"/>
      <c r="DR286" s="44"/>
      <c r="DS286" s="44"/>
      <c r="DT286" s="44"/>
      <c r="DU286" s="44"/>
      <c r="DV286" s="44"/>
      <c r="DW286" s="44"/>
      <c r="DX286" s="44"/>
      <c r="DY286" s="44"/>
      <c r="DZ286" s="44"/>
      <c r="EA286" s="44"/>
      <c r="EB286" s="44"/>
      <c r="EC286" s="44"/>
      <c r="ED286" s="44"/>
      <c r="EE286" s="44"/>
      <c r="EF286" s="44"/>
      <c r="EG286" s="44"/>
    </row>
    <row r="287" spans="1:137">
      <c r="A287" s="14"/>
      <c r="B287" s="44"/>
      <c r="C287" s="44"/>
      <c r="D287" s="44"/>
      <c r="E287" s="44"/>
      <c r="F287" s="44"/>
      <c r="G287" s="44"/>
      <c r="H287" s="44"/>
      <c r="I287" s="44"/>
      <c r="J287" s="44"/>
      <c r="K287" s="44"/>
      <c r="L287" s="44"/>
      <c r="M287" s="44"/>
      <c r="N287" s="44"/>
      <c r="O287" s="44"/>
      <c r="P287" s="44"/>
      <c r="Q287" s="44"/>
      <c r="R287" s="44"/>
      <c r="S287" s="44"/>
      <c r="T287" s="20"/>
      <c r="U287" s="20"/>
      <c r="V287" s="20"/>
      <c r="W287" s="20"/>
      <c r="X287" s="20"/>
      <c r="Y287" s="20"/>
      <c r="Z287" s="20"/>
      <c r="AA287" s="20"/>
      <c r="AB287" s="20"/>
      <c r="AC287" s="20"/>
      <c r="AD287" s="20"/>
      <c r="AE287" s="20"/>
      <c r="AF287" s="20"/>
      <c r="AG287" s="20"/>
      <c r="AH287" s="20"/>
      <c r="AI287" s="20"/>
      <c r="AJ287" s="20"/>
      <c r="AK287" s="20"/>
      <c r="AL287" s="20"/>
      <c r="AM287" s="20"/>
      <c r="AN287" s="20"/>
      <c r="AO287" s="20"/>
      <c r="AP287" s="20"/>
      <c r="AQ287" s="20"/>
      <c r="AR287" s="20"/>
      <c r="AS287" s="20"/>
      <c r="AT287" s="20"/>
      <c r="AU287" s="20"/>
      <c r="AV287" s="20"/>
      <c r="AW287" s="20"/>
      <c r="AX287" s="20"/>
      <c r="AY287" s="20"/>
      <c r="AZ287" s="20"/>
      <c r="BA287" s="20"/>
      <c r="BB287" s="20"/>
      <c r="BC287" s="20"/>
      <c r="BD287" s="20"/>
      <c r="BE287" s="20"/>
      <c r="BF287" s="20"/>
      <c r="BG287" s="20"/>
      <c r="BH287" s="20"/>
      <c r="BI287" s="20"/>
      <c r="BJ287" s="20"/>
      <c r="BK287" s="20"/>
      <c r="BL287" s="20"/>
      <c r="BM287" s="20"/>
      <c r="BN287" s="20"/>
      <c r="BO287" s="20"/>
      <c r="BP287" s="20"/>
      <c r="BQ287" s="20"/>
      <c r="BR287" s="20"/>
      <c r="BS287" s="20"/>
      <c r="BT287" s="20"/>
      <c r="BU287" s="44"/>
      <c r="BV287" s="44"/>
      <c r="BW287" s="44"/>
      <c r="BX287" s="44"/>
      <c r="BY287" s="44"/>
      <c r="BZ287" s="44"/>
      <c r="CA287" s="44"/>
      <c r="CB287" s="44"/>
      <c r="CC287" s="44"/>
      <c r="CD287" s="44"/>
      <c r="CE287" s="44"/>
      <c r="CF287" s="44"/>
      <c r="CG287" s="44"/>
      <c r="CH287" s="44"/>
      <c r="CI287" s="44"/>
      <c r="CJ287" s="44"/>
      <c r="CK287" s="44"/>
      <c r="CL287" s="44"/>
      <c r="CM287" s="44"/>
      <c r="CN287" s="44"/>
      <c r="CO287" s="44"/>
      <c r="CP287" s="44"/>
      <c r="CQ287" s="44"/>
      <c r="CR287" s="44"/>
      <c r="CS287" s="44"/>
      <c r="CT287" s="44"/>
      <c r="CU287" s="44"/>
      <c r="CV287" s="44"/>
      <c r="CW287" s="44"/>
      <c r="CX287" s="44"/>
      <c r="CY287" s="44"/>
      <c r="CZ287" s="44"/>
      <c r="DA287" s="44"/>
      <c r="DB287" s="44"/>
      <c r="DC287" s="44"/>
      <c r="DD287" s="44"/>
      <c r="DE287" s="44"/>
      <c r="DF287" s="44"/>
      <c r="DG287" s="44"/>
      <c r="DH287" s="44"/>
      <c r="DI287" s="44"/>
      <c r="DJ287" s="44"/>
      <c r="DK287" s="44"/>
      <c r="DL287" s="44"/>
      <c r="DM287" s="44"/>
      <c r="DN287" s="44"/>
      <c r="DO287" s="44"/>
      <c r="DP287" s="44"/>
      <c r="DQ287" s="44"/>
      <c r="DR287" s="44"/>
      <c r="DS287" s="44"/>
      <c r="DT287" s="44"/>
      <c r="DU287" s="44"/>
      <c r="DV287" s="44"/>
      <c r="DW287" s="44"/>
      <c r="DX287" s="44"/>
      <c r="DY287" s="44"/>
      <c r="DZ287" s="44"/>
      <c r="EA287" s="44"/>
      <c r="EB287" s="44"/>
      <c r="EC287" s="44"/>
      <c r="ED287" s="44"/>
      <c r="EE287" s="44"/>
      <c r="EF287" s="44"/>
      <c r="EG287" s="44"/>
    </row>
    <row r="288" spans="1:137">
      <c r="A288" s="14"/>
      <c r="B288" s="44"/>
      <c r="C288" s="44"/>
      <c r="D288" s="44"/>
      <c r="E288" s="44"/>
      <c r="F288" s="44"/>
      <c r="G288" s="44"/>
      <c r="H288" s="44"/>
      <c r="I288" s="44"/>
      <c r="J288" s="44"/>
      <c r="K288" s="44"/>
      <c r="L288" s="44"/>
      <c r="M288" s="44"/>
      <c r="N288" s="44"/>
      <c r="O288" s="44"/>
      <c r="P288" s="44"/>
      <c r="Q288" s="44"/>
      <c r="R288" s="44"/>
      <c r="S288" s="44"/>
      <c r="T288" s="20"/>
      <c r="U288" s="20"/>
      <c r="V288" s="20"/>
      <c r="W288" s="20"/>
      <c r="X288" s="20"/>
      <c r="Y288" s="20"/>
      <c r="Z288" s="20"/>
      <c r="AA288" s="20"/>
      <c r="AB288" s="20"/>
      <c r="AC288" s="20"/>
      <c r="AD288" s="20"/>
      <c r="AE288" s="20"/>
      <c r="AF288" s="20"/>
      <c r="AG288" s="20"/>
      <c r="AH288" s="20"/>
      <c r="AI288" s="20"/>
      <c r="AJ288" s="20"/>
      <c r="AK288" s="20"/>
      <c r="AL288" s="20"/>
      <c r="AM288" s="20"/>
      <c r="AN288" s="20"/>
      <c r="AO288" s="20"/>
      <c r="AP288" s="20"/>
      <c r="AQ288" s="20"/>
      <c r="AR288" s="20"/>
      <c r="AS288" s="20"/>
      <c r="AT288" s="20"/>
      <c r="AU288" s="20"/>
      <c r="AV288" s="20"/>
      <c r="AW288" s="20"/>
      <c r="AX288" s="20"/>
      <c r="AY288" s="20"/>
      <c r="AZ288" s="20"/>
      <c r="BA288" s="20"/>
      <c r="BB288" s="20"/>
      <c r="BC288" s="20"/>
      <c r="BD288" s="20"/>
      <c r="BE288" s="20"/>
      <c r="BF288" s="20"/>
      <c r="BG288" s="20"/>
      <c r="BH288" s="20"/>
      <c r="BI288" s="20"/>
      <c r="BJ288" s="20"/>
      <c r="BK288" s="20"/>
      <c r="BL288" s="20"/>
      <c r="BM288" s="20"/>
      <c r="BN288" s="20"/>
      <c r="BO288" s="20"/>
      <c r="BP288" s="20"/>
      <c r="BQ288" s="20"/>
      <c r="BR288" s="20"/>
      <c r="BS288" s="20"/>
      <c r="BT288" s="20"/>
      <c r="BU288" s="44"/>
      <c r="BV288" s="44"/>
      <c r="BW288" s="44"/>
      <c r="BX288" s="44"/>
      <c r="BY288" s="44"/>
      <c r="BZ288" s="44"/>
      <c r="CA288" s="44"/>
      <c r="CB288" s="44"/>
      <c r="CC288" s="44"/>
      <c r="CD288" s="44"/>
      <c r="CE288" s="44"/>
      <c r="CF288" s="44"/>
      <c r="CG288" s="44"/>
      <c r="CH288" s="44"/>
      <c r="CI288" s="44"/>
      <c r="CJ288" s="44"/>
      <c r="CK288" s="44"/>
      <c r="CL288" s="44"/>
      <c r="CM288" s="44"/>
      <c r="CN288" s="44"/>
      <c r="CO288" s="44"/>
      <c r="CP288" s="44"/>
      <c r="CQ288" s="44"/>
      <c r="CR288" s="44"/>
      <c r="CS288" s="44"/>
      <c r="CT288" s="44"/>
      <c r="CU288" s="44"/>
      <c r="CV288" s="44"/>
      <c r="CW288" s="44"/>
      <c r="CX288" s="44"/>
      <c r="CY288" s="44"/>
      <c r="CZ288" s="44"/>
      <c r="DA288" s="44"/>
      <c r="DB288" s="44"/>
      <c r="DC288" s="44"/>
      <c r="DD288" s="44"/>
      <c r="DE288" s="44"/>
      <c r="DF288" s="44"/>
      <c r="DG288" s="44"/>
      <c r="DH288" s="44"/>
      <c r="DI288" s="44"/>
      <c r="DJ288" s="44"/>
      <c r="DK288" s="44"/>
      <c r="DL288" s="44"/>
      <c r="DM288" s="44"/>
      <c r="DN288" s="44"/>
      <c r="DO288" s="44"/>
      <c r="DP288" s="44"/>
      <c r="DQ288" s="44"/>
      <c r="DR288" s="44"/>
      <c r="DS288" s="44"/>
      <c r="DT288" s="44"/>
      <c r="DU288" s="44"/>
      <c r="DV288" s="44"/>
      <c r="DW288" s="44"/>
      <c r="DX288" s="44"/>
      <c r="DY288" s="44"/>
      <c r="DZ288" s="44"/>
      <c r="EA288" s="44"/>
      <c r="EB288" s="44"/>
      <c r="EC288" s="44"/>
      <c r="ED288" s="44"/>
      <c r="EE288" s="44"/>
      <c r="EF288" s="44"/>
      <c r="EG288" s="44"/>
    </row>
    <row r="289" spans="1:137">
      <c r="A289" s="14"/>
      <c r="B289" s="44"/>
      <c r="C289" s="44"/>
      <c r="D289" s="44"/>
      <c r="E289" s="44"/>
      <c r="F289" s="44"/>
      <c r="G289" s="44"/>
      <c r="H289" s="44"/>
      <c r="I289" s="44"/>
      <c r="J289" s="44"/>
      <c r="K289" s="44"/>
      <c r="L289" s="44"/>
      <c r="M289" s="44"/>
      <c r="N289" s="44"/>
      <c r="O289" s="44"/>
      <c r="P289" s="44"/>
      <c r="Q289" s="44"/>
      <c r="R289" s="44"/>
      <c r="S289" s="44"/>
      <c r="T289" s="20"/>
      <c r="U289" s="20"/>
      <c r="V289" s="20"/>
      <c r="W289" s="20"/>
      <c r="X289" s="20"/>
      <c r="Y289" s="20"/>
      <c r="Z289" s="20"/>
      <c r="AA289" s="20"/>
      <c r="AB289" s="20"/>
      <c r="AC289" s="20"/>
      <c r="AD289" s="20"/>
      <c r="AE289" s="20"/>
      <c r="AF289" s="20"/>
      <c r="AG289" s="20"/>
      <c r="AH289" s="20"/>
      <c r="AI289" s="20"/>
      <c r="AJ289" s="20"/>
      <c r="AK289" s="20"/>
      <c r="AL289" s="20"/>
      <c r="AM289" s="20"/>
      <c r="AN289" s="20"/>
      <c r="AO289" s="20"/>
      <c r="AP289" s="20"/>
      <c r="AQ289" s="20"/>
      <c r="AR289" s="20"/>
      <c r="AS289" s="20"/>
      <c r="AT289" s="20"/>
      <c r="AU289" s="20"/>
      <c r="AV289" s="20"/>
      <c r="AW289" s="20"/>
      <c r="AX289" s="20"/>
      <c r="AY289" s="20"/>
      <c r="AZ289" s="20"/>
      <c r="BA289" s="20"/>
      <c r="BB289" s="20"/>
      <c r="BC289" s="20"/>
      <c r="BD289" s="20"/>
      <c r="BE289" s="20"/>
      <c r="BF289" s="20"/>
      <c r="BG289" s="20"/>
      <c r="BH289" s="20"/>
      <c r="BI289" s="20"/>
      <c r="BJ289" s="20"/>
      <c r="BK289" s="20"/>
      <c r="BL289" s="20"/>
      <c r="BM289" s="20"/>
      <c r="BN289" s="20"/>
      <c r="BO289" s="20"/>
      <c r="BP289" s="20"/>
      <c r="BQ289" s="20"/>
      <c r="BR289" s="20"/>
      <c r="BS289" s="20"/>
      <c r="BT289" s="20"/>
      <c r="BU289" s="44"/>
      <c r="BV289" s="44"/>
      <c r="BW289" s="44"/>
      <c r="BX289" s="44"/>
      <c r="BY289" s="44"/>
      <c r="BZ289" s="44"/>
      <c r="CA289" s="44"/>
      <c r="CB289" s="44"/>
      <c r="CC289" s="44"/>
      <c r="CD289" s="44"/>
      <c r="CE289" s="44"/>
      <c r="CF289" s="44"/>
      <c r="CG289" s="44"/>
      <c r="CH289" s="44"/>
      <c r="CI289" s="44"/>
      <c r="CJ289" s="44"/>
      <c r="CK289" s="44"/>
      <c r="CL289" s="44"/>
      <c r="CM289" s="44"/>
      <c r="CN289" s="44"/>
      <c r="CO289" s="44"/>
      <c r="CP289" s="44"/>
      <c r="CQ289" s="44"/>
      <c r="CR289" s="44"/>
      <c r="CS289" s="44"/>
      <c r="CT289" s="44"/>
      <c r="CU289" s="44"/>
      <c r="CV289" s="44"/>
      <c r="CW289" s="44"/>
      <c r="CX289" s="44"/>
      <c r="CY289" s="44"/>
      <c r="CZ289" s="44"/>
      <c r="DA289" s="44"/>
      <c r="DB289" s="44"/>
      <c r="DC289" s="44"/>
      <c r="DD289" s="44"/>
      <c r="DE289" s="44"/>
      <c r="DF289" s="44"/>
      <c r="DG289" s="44"/>
      <c r="DH289" s="44"/>
      <c r="DI289" s="44"/>
      <c r="DJ289" s="44"/>
      <c r="DK289" s="44"/>
      <c r="DL289" s="44"/>
      <c r="DM289" s="44"/>
      <c r="DN289" s="44"/>
      <c r="DO289" s="44"/>
      <c r="DP289" s="44"/>
      <c r="DQ289" s="44"/>
      <c r="DR289" s="44"/>
      <c r="DS289" s="44"/>
      <c r="DT289" s="44"/>
      <c r="DU289" s="44"/>
      <c r="DV289" s="44"/>
      <c r="DW289" s="44"/>
      <c r="DX289" s="44"/>
      <c r="DY289" s="44"/>
      <c r="DZ289" s="44"/>
      <c r="EA289" s="44"/>
      <c r="EB289" s="44"/>
      <c r="EC289" s="44"/>
      <c r="ED289" s="44"/>
      <c r="EE289" s="44"/>
      <c r="EF289" s="44"/>
      <c r="EG289" s="44"/>
    </row>
    <row r="290" spans="1:137">
      <c r="A290" s="14"/>
      <c r="B290" s="44"/>
      <c r="C290" s="44"/>
      <c r="D290" s="44"/>
      <c r="E290" s="44"/>
      <c r="F290" s="44"/>
      <c r="G290" s="44"/>
      <c r="H290" s="44"/>
      <c r="I290" s="44"/>
      <c r="J290" s="44"/>
      <c r="K290" s="44"/>
      <c r="L290" s="44"/>
      <c r="M290" s="44"/>
      <c r="N290" s="44"/>
      <c r="O290" s="44"/>
      <c r="P290" s="44"/>
      <c r="Q290" s="44"/>
      <c r="R290" s="44"/>
      <c r="S290" s="44"/>
      <c r="T290" s="20"/>
      <c r="U290" s="20"/>
      <c r="V290" s="20"/>
      <c r="W290" s="20"/>
      <c r="X290" s="20"/>
      <c r="Y290" s="20"/>
      <c r="Z290" s="20"/>
      <c r="AA290" s="20"/>
      <c r="AB290" s="20"/>
      <c r="AC290" s="20"/>
      <c r="AD290" s="20"/>
      <c r="AE290" s="20"/>
      <c r="AF290" s="20"/>
      <c r="AG290" s="20"/>
      <c r="AH290" s="20"/>
      <c r="AI290" s="20"/>
      <c r="AJ290" s="20"/>
      <c r="AK290" s="20"/>
      <c r="AL290" s="20"/>
      <c r="AM290" s="20"/>
      <c r="AN290" s="20"/>
      <c r="AO290" s="20"/>
      <c r="AP290" s="20"/>
      <c r="AQ290" s="20"/>
      <c r="AR290" s="20"/>
      <c r="AS290" s="20"/>
      <c r="AT290" s="20"/>
      <c r="AU290" s="20"/>
      <c r="AV290" s="20"/>
      <c r="AW290" s="20"/>
      <c r="AX290" s="20"/>
      <c r="AY290" s="20"/>
      <c r="AZ290" s="20"/>
      <c r="BA290" s="20"/>
      <c r="BB290" s="20"/>
      <c r="BC290" s="20"/>
      <c r="BD290" s="20"/>
      <c r="BE290" s="20"/>
      <c r="BF290" s="20"/>
      <c r="BG290" s="20"/>
      <c r="BH290" s="20"/>
      <c r="BI290" s="20"/>
      <c r="BJ290" s="20"/>
      <c r="BK290" s="20"/>
      <c r="BL290" s="20"/>
      <c r="BM290" s="20"/>
      <c r="BN290" s="20"/>
      <c r="BO290" s="20"/>
      <c r="BP290" s="20"/>
      <c r="BQ290" s="20"/>
      <c r="BR290" s="20"/>
      <c r="BS290" s="20"/>
      <c r="BT290" s="20"/>
      <c r="BU290" s="44"/>
      <c r="BV290" s="44"/>
      <c r="BW290" s="44"/>
      <c r="BX290" s="44"/>
      <c r="BY290" s="44"/>
      <c r="BZ290" s="44"/>
      <c r="CA290" s="44"/>
      <c r="CB290" s="44"/>
      <c r="CC290" s="44"/>
      <c r="CD290" s="44"/>
      <c r="CE290" s="44"/>
      <c r="CF290" s="44"/>
      <c r="CG290" s="44"/>
      <c r="CH290" s="44"/>
      <c r="CI290" s="44"/>
      <c r="CJ290" s="44"/>
      <c r="CK290" s="44"/>
      <c r="CL290" s="44"/>
      <c r="CM290" s="44"/>
      <c r="CN290" s="44"/>
      <c r="CO290" s="44"/>
      <c r="CP290" s="44"/>
      <c r="CQ290" s="44"/>
      <c r="CR290" s="44"/>
      <c r="CS290" s="44"/>
      <c r="CT290" s="44"/>
      <c r="CU290" s="44"/>
      <c r="CV290" s="44"/>
      <c r="CW290" s="44"/>
      <c r="CX290" s="44"/>
      <c r="CY290" s="44"/>
      <c r="CZ290" s="44"/>
      <c r="DA290" s="44"/>
      <c r="DB290" s="44"/>
      <c r="DC290" s="44"/>
      <c r="DD290" s="44"/>
      <c r="DE290" s="44"/>
      <c r="DF290" s="44"/>
      <c r="DG290" s="44"/>
      <c r="DH290" s="44"/>
      <c r="DI290" s="44"/>
      <c r="DJ290" s="44"/>
      <c r="DK290" s="44"/>
      <c r="DL290" s="44"/>
      <c r="DM290" s="44"/>
      <c r="DN290" s="44"/>
      <c r="DO290" s="44"/>
      <c r="DP290" s="44"/>
      <c r="DQ290" s="44"/>
      <c r="DR290" s="44"/>
      <c r="DS290" s="44"/>
      <c r="DT290" s="44"/>
      <c r="DU290" s="44"/>
      <c r="DV290" s="44"/>
      <c r="DW290" s="44"/>
      <c r="DX290" s="44"/>
      <c r="DY290" s="44"/>
      <c r="DZ290" s="44"/>
      <c r="EA290" s="44"/>
      <c r="EB290" s="44"/>
      <c r="EC290" s="44"/>
      <c r="ED290" s="44"/>
      <c r="EE290" s="44"/>
      <c r="EF290" s="44"/>
      <c r="EG290" s="44"/>
    </row>
    <row r="291" spans="1:137">
      <c r="A291" s="14"/>
      <c r="B291" s="44"/>
      <c r="C291" s="44"/>
      <c r="D291" s="44"/>
      <c r="E291" s="44"/>
      <c r="F291" s="44"/>
      <c r="G291" s="44"/>
      <c r="H291" s="44"/>
      <c r="I291" s="44"/>
      <c r="J291" s="44"/>
      <c r="K291" s="44"/>
      <c r="L291" s="44"/>
      <c r="M291" s="44"/>
      <c r="N291" s="44"/>
      <c r="O291" s="44"/>
      <c r="P291" s="44"/>
      <c r="Q291" s="44"/>
      <c r="R291" s="44"/>
      <c r="S291" s="44"/>
      <c r="T291" s="20"/>
      <c r="U291" s="20"/>
      <c r="V291" s="20"/>
      <c r="W291" s="20"/>
      <c r="X291" s="20"/>
      <c r="Y291" s="20"/>
      <c r="Z291" s="20"/>
      <c r="AA291" s="20"/>
      <c r="AB291" s="20"/>
      <c r="AC291" s="20"/>
      <c r="AD291" s="20"/>
      <c r="AE291" s="20"/>
      <c r="AF291" s="20"/>
      <c r="AG291" s="20"/>
      <c r="AH291" s="20"/>
      <c r="AI291" s="20"/>
      <c r="AJ291" s="20"/>
      <c r="AK291" s="20"/>
      <c r="AL291" s="20"/>
      <c r="AM291" s="20"/>
      <c r="AN291" s="20"/>
      <c r="AO291" s="20"/>
      <c r="AP291" s="20"/>
      <c r="AQ291" s="20"/>
      <c r="AR291" s="20"/>
      <c r="AS291" s="20"/>
      <c r="AT291" s="20"/>
      <c r="AU291" s="20"/>
      <c r="AV291" s="20"/>
      <c r="AW291" s="20"/>
      <c r="AX291" s="20"/>
      <c r="AY291" s="20"/>
      <c r="AZ291" s="20"/>
      <c r="BA291" s="20"/>
      <c r="BB291" s="20"/>
      <c r="BC291" s="20"/>
      <c r="BD291" s="20"/>
      <c r="BE291" s="20"/>
      <c r="BF291" s="20"/>
      <c r="BG291" s="20"/>
      <c r="BH291" s="20"/>
      <c r="BI291" s="20"/>
      <c r="BJ291" s="20"/>
      <c r="BK291" s="20"/>
      <c r="BL291" s="20"/>
      <c r="BM291" s="20"/>
      <c r="BN291" s="20"/>
      <c r="BO291" s="20"/>
      <c r="BP291" s="20"/>
      <c r="BQ291" s="20"/>
      <c r="BR291" s="20"/>
      <c r="BS291" s="20"/>
      <c r="BT291" s="20"/>
      <c r="BU291" s="44"/>
      <c r="BV291" s="44"/>
      <c r="BW291" s="44"/>
      <c r="BX291" s="44"/>
      <c r="BY291" s="44"/>
      <c r="BZ291" s="44"/>
      <c r="CA291" s="44"/>
      <c r="CB291" s="44"/>
      <c r="CC291" s="44"/>
      <c r="CD291" s="44"/>
      <c r="CE291" s="44"/>
      <c r="CF291" s="44"/>
      <c r="CG291" s="44"/>
      <c r="CH291" s="44"/>
      <c r="CI291" s="44"/>
      <c r="CJ291" s="44"/>
      <c r="CK291" s="44"/>
      <c r="CL291" s="44"/>
      <c r="CM291" s="44"/>
      <c r="CN291" s="44"/>
      <c r="CO291" s="44"/>
      <c r="CP291" s="44"/>
      <c r="CQ291" s="44"/>
      <c r="CR291" s="44"/>
      <c r="CS291" s="44"/>
      <c r="CT291" s="44"/>
      <c r="CU291" s="44"/>
      <c r="CV291" s="44"/>
      <c r="CW291" s="44"/>
      <c r="CX291" s="44"/>
      <c r="CY291" s="44"/>
      <c r="CZ291" s="44"/>
      <c r="DA291" s="44"/>
      <c r="DB291" s="44"/>
      <c r="DC291" s="44"/>
      <c r="DD291" s="44"/>
      <c r="DE291" s="44"/>
      <c r="DF291" s="44"/>
      <c r="DG291" s="44"/>
      <c r="DH291" s="44"/>
      <c r="DI291" s="44"/>
      <c r="DJ291" s="44"/>
      <c r="DK291" s="44"/>
      <c r="DL291" s="44"/>
      <c r="DM291" s="44"/>
      <c r="DN291" s="44"/>
      <c r="DO291" s="44"/>
      <c r="DP291" s="44"/>
      <c r="DQ291" s="44"/>
      <c r="DR291" s="44"/>
      <c r="DS291" s="44"/>
      <c r="DT291" s="44"/>
      <c r="DU291" s="44"/>
      <c r="DV291" s="44"/>
      <c r="DW291" s="44"/>
      <c r="DX291" s="44"/>
      <c r="DY291" s="44"/>
      <c r="DZ291" s="44"/>
      <c r="EA291" s="44"/>
      <c r="EB291" s="44"/>
      <c r="EC291" s="44"/>
      <c r="ED291" s="44"/>
      <c r="EE291" s="44"/>
      <c r="EF291" s="44"/>
      <c r="EG291" s="44"/>
    </row>
    <row r="292" spans="1:137">
      <c r="A292" s="14"/>
      <c r="B292" s="44"/>
      <c r="C292" s="44"/>
      <c r="D292" s="44"/>
      <c r="E292" s="44"/>
      <c r="F292" s="44"/>
      <c r="G292" s="44"/>
      <c r="H292" s="44"/>
      <c r="I292" s="44"/>
      <c r="J292" s="44"/>
      <c r="K292" s="44"/>
      <c r="L292" s="44"/>
      <c r="M292" s="44"/>
      <c r="N292" s="44"/>
      <c r="O292" s="44"/>
      <c r="P292" s="44"/>
      <c r="Q292" s="44"/>
      <c r="R292" s="44"/>
      <c r="S292" s="44"/>
      <c r="T292" s="20"/>
      <c r="U292" s="20"/>
      <c r="V292" s="20"/>
      <c r="W292" s="20"/>
      <c r="X292" s="20"/>
      <c r="Y292" s="20"/>
      <c r="Z292" s="20"/>
      <c r="AA292" s="20"/>
      <c r="AB292" s="20"/>
      <c r="AC292" s="20"/>
      <c r="AD292" s="20"/>
      <c r="AE292" s="20"/>
      <c r="AF292" s="20"/>
      <c r="AG292" s="20"/>
      <c r="AH292" s="20"/>
      <c r="AI292" s="20"/>
      <c r="AJ292" s="20"/>
      <c r="AK292" s="20"/>
      <c r="AL292" s="20"/>
      <c r="AM292" s="20"/>
      <c r="AN292" s="20"/>
      <c r="AO292" s="20"/>
      <c r="AP292" s="20"/>
      <c r="AQ292" s="20"/>
      <c r="AR292" s="20"/>
      <c r="AS292" s="20"/>
      <c r="AT292" s="20"/>
      <c r="AU292" s="20"/>
      <c r="AV292" s="20"/>
      <c r="AW292" s="20"/>
      <c r="AX292" s="20"/>
      <c r="AY292" s="20"/>
      <c r="AZ292" s="20"/>
      <c r="BA292" s="20"/>
      <c r="BB292" s="20"/>
      <c r="BC292" s="20"/>
      <c r="BD292" s="20"/>
      <c r="BE292" s="20"/>
      <c r="BF292" s="20"/>
      <c r="BG292" s="20"/>
      <c r="BH292" s="20"/>
      <c r="BI292" s="20"/>
      <c r="BJ292" s="20"/>
      <c r="BK292" s="20"/>
      <c r="BL292" s="20"/>
      <c r="BM292" s="20"/>
      <c r="BN292" s="20"/>
      <c r="BO292" s="20"/>
      <c r="BP292" s="20"/>
      <c r="BQ292" s="20"/>
      <c r="BR292" s="20"/>
      <c r="BS292" s="20"/>
      <c r="BT292" s="20"/>
      <c r="BU292" s="44"/>
      <c r="BV292" s="44"/>
      <c r="BW292" s="44"/>
      <c r="BX292" s="44"/>
      <c r="BY292" s="44"/>
      <c r="BZ292" s="44"/>
      <c r="CA292" s="44"/>
      <c r="CB292" s="44"/>
      <c r="CC292" s="44"/>
      <c r="CD292" s="44"/>
      <c r="CE292" s="44"/>
      <c r="CF292" s="44"/>
      <c r="CG292" s="44"/>
      <c r="CH292" s="44"/>
      <c r="CI292" s="44"/>
      <c r="CJ292" s="44"/>
      <c r="CK292" s="44"/>
      <c r="CL292" s="44"/>
      <c r="CM292" s="44"/>
      <c r="CN292" s="44"/>
      <c r="CO292" s="44"/>
      <c r="CP292" s="44"/>
      <c r="CQ292" s="44"/>
      <c r="CR292" s="44"/>
      <c r="CS292" s="44"/>
      <c r="CT292" s="44"/>
      <c r="CU292" s="44"/>
      <c r="CV292" s="44"/>
      <c r="CW292" s="44"/>
      <c r="CX292" s="44"/>
      <c r="CY292" s="44"/>
      <c r="CZ292" s="44"/>
      <c r="DA292" s="44"/>
      <c r="DB292" s="44"/>
      <c r="DC292" s="44"/>
      <c r="DD292" s="44"/>
      <c r="DE292" s="44"/>
      <c r="DF292" s="44"/>
      <c r="DG292" s="44"/>
      <c r="DH292" s="44"/>
      <c r="DI292" s="44"/>
      <c r="DJ292" s="44"/>
      <c r="DK292" s="44"/>
      <c r="DL292" s="44"/>
      <c r="DM292" s="44"/>
      <c r="DN292" s="44"/>
      <c r="DO292" s="44"/>
      <c r="DP292" s="44"/>
      <c r="DQ292" s="44"/>
      <c r="DR292" s="44"/>
      <c r="DS292" s="44"/>
      <c r="DT292" s="44"/>
      <c r="DU292" s="44"/>
      <c r="DV292" s="44"/>
      <c r="DW292" s="44"/>
      <c r="DX292" s="44"/>
      <c r="DY292" s="44"/>
      <c r="DZ292" s="44"/>
      <c r="EA292" s="44"/>
      <c r="EB292" s="44"/>
      <c r="EC292" s="44"/>
      <c r="ED292" s="44"/>
      <c r="EE292" s="44"/>
      <c r="EF292" s="44"/>
      <c r="EG292" s="44"/>
    </row>
    <row r="293" spans="1:137">
      <c r="A293" s="14"/>
      <c r="B293" s="44"/>
      <c r="C293" s="44"/>
      <c r="D293" s="44"/>
      <c r="E293" s="44"/>
      <c r="F293" s="44"/>
      <c r="G293" s="44"/>
      <c r="H293" s="44"/>
      <c r="I293" s="44"/>
      <c r="J293" s="44"/>
      <c r="K293" s="44"/>
      <c r="L293" s="44"/>
      <c r="M293" s="44"/>
      <c r="N293" s="44"/>
      <c r="O293" s="44"/>
      <c r="P293" s="44"/>
      <c r="Q293" s="44"/>
      <c r="R293" s="44"/>
      <c r="S293" s="44"/>
      <c r="T293" s="20"/>
      <c r="U293" s="20"/>
      <c r="V293" s="20"/>
      <c r="W293" s="20"/>
      <c r="X293" s="20"/>
      <c r="Y293" s="20"/>
      <c r="Z293" s="20"/>
      <c r="AA293" s="20"/>
      <c r="AB293" s="20"/>
      <c r="AC293" s="20"/>
      <c r="AD293" s="20"/>
      <c r="AE293" s="20"/>
      <c r="AF293" s="20"/>
      <c r="AG293" s="20"/>
      <c r="AH293" s="20"/>
      <c r="AI293" s="20"/>
      <c r="AJ293" s="20"/>
      <c r="AK293" s="20"/>
      <c r="AL293" s="20"/>
      <c r="AM293" s="20"/>
      <c r="AN293" s="20"/>
      <c r="AO293" s="20"/>
      <c r="AP293" s="20"/>
      <c r="AQ293" s="20"/>
      <c r="AR293" s="20"/>
      <c r="AS293" s="20"/>
      <c r="AT293" s="20"/>
      <c r="AU293" s="20"/>
      <c r="AV293" s="20"/>
      <c r="AW293" s="20"/>
      <c r="AX293" s="20"/>
      <c r="AY293" s="20"/>
      <c r="AZ293" s="20"/>
      <c r="BA293" s="20"/>
      <c r="BB293" s="20"/>
      <c r="BC293" s="20"/>
      <c r="BD293" s="20"/>
      <c r="BE293" s="20"/>
      <c r="BF293" s="20"/>
      <c r="BG293" s="20"/>
      <c r="BH293" s="20"/>
      <c r="BI293" s="20"/>
      <c r="BJ293" s="20"/>
      <c r="BK293" s="20"/>
      <c r="BL293" s="20"/>
      <c r="BM293" s="20"/>
      <c r="BN293" s="20"/>
      <c r="BO293" s="20"/>
      <c r="BP293" s="20"/>
      <c r="BQ293" s="20"/>
      <c r="BR293" s="20"/>
      <c r="BS293" s="20"/>
      <c r="BT293" s="20"/>
      <c r="BU293" s="44"/>
      <c r="BV293" s="44"/>
      <c r="BW293" s="44"/>
      <c r="BX293" s="44"/>
      <c r="BY293" s="44"/>
      <c r="BZ293" s="44"/>
      <c r="CA293" s="44"/>
      <c r="CB293" s="44"/>
      <c r="CC293" s="44"/>
      <c r="CD293" s="44"/>
      <c r="CE293" s="44"/>
      <c r="CF293" s="44"/>
      <c r="CG293" s="44"/>
      <c r="CH293" s="44"/>
      <c r="CI293" s="44"/>
      <c r="CJ293" s="44"/>
      <c r="CK293" s="44"/>
      <c r="CL293" s="44"/>
      <c r="CM293" s="44"/>
      <c r="CN293" s="44"/>
      <c r="CO293" s="44"/>
      <c r="CP293" s="44"/>
      <c r="CQ293" s="44"/>
      <c r="CR293" s="44"/>
      <c r="CS293" s="44"/>
      <c r="CT293" s="44"/>
      <c r="CU293" s="44"/>
      <c r="CV293" s="44"/>
      <c r="CW293" s="44"/>
      <c r="CX293" s="44"/>
      <c r="CY293" s="44"/>
      <c r="CZ293" s="44"/>
      <c r="DA293" s="44"/>
      <c r="DB293" s="44"/>
      <c r="DC293" s="44"/>
      <c r="DD293" s="44"/>
      <c r="DE293" s="44"/>
      <c r="DF293" s="44"/>
      <c r="DG293" s="44"/>
      <c r="DH293" s="44"/>
      <c r="DI293" s="44"/>
      <c r="DJ293" s="44"/>
      <c r="DK293" s="44"/>
      <c r="DL293" s="44"/>
      <c r="DM293" s="44"/>
      <c r="DN293" s="44"/>
      <c r="DO293" s="44"/>
      <c r="DP293" s="44"/>
      <c r="DQ293" s="44"/>
      <c r="DR293" s="44"/>
      <c r="DS293" s="44"/>
      <c r="DT293" s="44"/>
      <c r="DU293" s="44"/>
      <c r="DV293" s="44"/>
      <c r="DW293" s="44"/>
      <c r="DX293" s="44"/>
      <c r="DY293" s="44"/>
      <c r="DZ293" s="44"/>
      <c r="EA293" s="44"/>
      <c r="EB293" s="44"/>
      <c r="EC293" s="44"/>
      <c r="ED293" s="44"/>
      <c r="EE293" s="44"/>
      <c r="EF293" s="44"/>
      <c r="EG293" s="44"/>
    </row>
    <row r="294" spans="1:137">
      <c r="A294" s="14"/>
      <c r="B294" s="44"/>
      <c r="C294" s="44"/>
      <c r="D294" s="44"/>
      <c r="E294" s="44"/>
      <c r="F294" s="44"/>
      <c r="G294" s="44"/>
      <c r="H294" s="44"/>
      <c r="I294" s="44"/>
      <c r="J294" s="44"/>
      <c r="K294" s="44"/>
      <c r="L294" s="44"/>
      <c r="M294" s="44"/>
      <c r="N294" s="44"/>
      <c r="O294" s="44"/>
      <c r="P294" s="44"/>
      <c r="Q294" s="44"/>
      <c r="R294" s="44"/>
      <c r="S294" s="44"/>
      <c r="T294" s="20"/>
      <c r="U294" s="20"/>
      <c r="V294" s="20"/>
      <c r="W294" s="20"/>
      <c r="X294" s="20"/>
      <c r="Y294" s="20"/>
      <c r="Z294" s="20"/>
      <c r="AA294" s="20"/>
      <c r="AB294" s="20"/>
      <c r="AC294" s="20"/>
      <c r="AD294" s="20"/>
      <c r="AE294" s="20"/>
      <c r="AF294" s="20"/>
      <c r="AG294" s="20"/>
      <c r="AH294" s="20"/>
      <c r="AI294" s="20"/>
      <c r="AJ294" s="20"/>
      <c r="AK294" s="20"/>
      <c r="AL294" s="20"/>
      <c r="AM294" s="20"/>
      <c r="AN294" s="20"/>
      <c r="AO294" s="20"/>
      <c r="AP294" s="20"/>
      <c r="AQ294" s="20"/>
      <c r="AR294" s="20"/>
      <c r="AS294" s="20"/>
      <c r="AT294" s="20"/>
      <c r="AU294" s="20"/>
      <c r="AV294" s="20"/>
      <c r="AW294" s="20"/>
      <c r="AX294" s="20"/>
      <c r="AY294" s="20"/>
      <c r="AZ294" s="20"/>
      <c r="BA294" s="20"/>
      <c r="BB294" s="20"/>
      <c r="BC294" s="20"/>
      <c r="BD294" s="20"/>
      <c r="BE294" s="20"/>
      <c r="BF294" s="20"/>
      <c r="BG294" s="20"/>
      <c r="BH294" s="20"/>
      <c r="BI294" s="20"/>
      <c r="BJ294" s="20"/>
      <c r="BK294" s="20"/>
      <c r="BL294" s="20"/>
      <c r="BM294" s="20"/>
      <c r="BN294" s="20"/>
      <c r="BO294" s="20"/>
      <c r="BP294" s="20"/>
      <c r="BQ294" s="20"/>
      <c r="BR294" s="20"/>
      <c r="BS294" s="20"/>
      <c r="BT294" s="20"/>
      <c r="BU294" s="44"/>
      <c r="BV294" s="44"/>
      <c r="BW294" s="44"/>
      <c r="BX294" s="44"/>
      <c r="BY294" s="44"/>
      <c r="BZ294" s="44"/>
      <c r="CA294" s="44"/>
      <c r="CB294" s="44"/>
      <c r="CC294" s="44"/>
      <c r="CD294" s="44"/>
      <c r="CE294" s="44"/>
      <c r="CF294" s="44"/>
      <c r="CG294" s="44"/>
      <c r="CH294" s="44"/>
      <c r="CI294" s="44"/>
      <c r="CJ294" s="44"/>
      <c r="CK294" s="44"/>
      <c r="CL294" s="44"/>
      <c r="CM294" s="44"/>
      <c r="CN294" s="44"/>
      <c r="CO294" s="44"/>
      <c r="CP294" s="44"/>
      <c r="CQ294" s="44"/>
      <c r="CR294" s="44"/>
      <c r="CS294" s="44"/>
      <c r="CT294" s="44"/>
      <c r="CU294" s="44"/>
      <c r="CV294" s="44"/>
      <c r="CW294" s="44"/>
      <c r="CX294" s="44"/>
      <c r="CY294" s="44"/>
      <c r="CZ294" s="44"/>
      <c r="DA294" s="44"/>
      <c r="DB294" s="44"/>
      <c r="DC294" s="44"/>
      <c r="DD294" s="44"/>
      <c r="DE294" s="44"/>
      <c r="DF294" s="44"/>
      <c r="DG294" s="44"/>
      <c r="DH294" s="44"/>
      <c r="DI294" s="44"/>
      <c r="DJ294" s="44"/>
      <c r="DK294" s="44"/>
      <c r="DL294" s="44"/>
      <c r="DM294" s="44"/>
      <c r="DN294" s="44"/>
      <c r="DO294" s="44"/>
      <c r="DP294" s="44"/>
      <c r="DQ294" s="44"/>
      <c r="DR294" s="44"/>
      <c r="DS294" s="44"/>
      <c r="DT294" s="44"/>
      <c r="DU294" s="44"/>
      <c r="DV294" s="44"/>
      <c r="DW294" s="44"/>
      <c r="DX294" s="44"/>
      <c r="DY294" s="44"/>
      <c r="DZ294" s="44"/>
      <c r="EA294" s="44"/>
      <c r="EB294" s="44"/>
      <c r="EC294" s="44"/>
      <c r="ED294" s="44"/>
      <c r="EE294" s="44"/>
      <c r="EF294" s="44"/>
      <c r="EG294" s="44"/>
    </row>
    <row r="295" spans="1:137">
      <c r="B295" s="130" t="s">
        <v>82</v>
      </c>
    </row>
  </sheetData>
  <sheetProtection password="B493" sheet="1" objects="1" scenarios="1"/>
  <sortState xmlns:xlrd2="http://schemas.microsoft.com/office/spreadsheetml/2017/richdata2" ref="K62:K72">
    <sortCondition ref="K62"/>
  </sortState>
  <mergeCells count="181">
    <mergeCell ref="C14:G25"/>
    <mergeCell ref="CB222:CD223"/>
    <mergeCell ref="C164:L165"/>
    <mergeCell ref="BY210:BZ210"/>
    <mergeCell ref="O6:R13"/>
    <mergeCell ref="O200:R205"/>
    <mergeCell ref="I19:L23"/>
    <mergeCell ref="BV222:BX223"/>
    <mergeCell ref="BU222:BU223"/>
    <mergeCell ref="BY222:BZ223"/>
    <mergeCell ref="CA222:CA223"/>
    <mergeCell ref="M85:M86"/>
    <mergeCell ref="M92:M93"/>
    <mergeCell ref="M99:M100"/>
    <mergeCell ref="M106:M107"/>
    <mergeCell ref="M113:M114"/>
    <mergeCell ref="M127:M128"/>
    <mergeCell ref="M134:M135"/>
    <mergeCell ref="M141:M142"/>
    <mergeCell ref="M148:M149"/>
    <mergeCell ref="N85:N86"/>
    <mergeCell ref="N92:N93"/>
    <mergeCell ref="M122:N123"/>
    <mergeCell ref="N113:N114"/>
    <mergeCell ref="F168:G168"/>
    <mergeCell ref="H168:I169"/>
    <mergeCell ref="C161:G162"/>
    <mergeCell ref="I104:J109"/>
    <mergeCell ref="K104:L109"/>
    <mergeCell ref="I159:L159"/>
    <mergeCell ref="I160:L160"/>
    <mergeCell ref="I118:J123"/>
    <mergeCell ref="K118:L123"/>
    <mergeCell ref="D104:G109"/>
    <mergeCell ref="C168:D169"/>
    <mergeCell ref="E168:E169"/>
    <mergeCell ref="I97:J102"/>
    <mergeCell ref="K97:L102"/>
    <mergeCell ref="CA213:CA215"/>
    <mergeCell ref="CB213:CD215"/>
    <mergeCell ref="J168:K169"/>
    <mergeCell ref="L168:L169"/>
    <mergeCell ref="P168:P169"/>
    <mergeCell ref="Q168:Q169"/>
    <mergeCell ref="N141:N142"/>
    <mergeCell ref="N148:N149"/>
    <mergeCell ref="I125:J130"/>
    <mergeCell ref="K125:L130"/>
    <mergeCell ref="I132:J137"/>
    <mergeCell ref="I139:J144"/>
    <mergeCell ref="I146:J151"/>
    <mergeCell ref="K132:L137"/>
    <mergeCell ref="K139:L144"/>
    <mergeCell ref="K146:L151"/>
    <mergeCell ref="I158:L158"/>
    <mergeCell ref="M168:M169"/>
    <mergeCell ref="N99:N100"/>
    <mergeCell ref="N106:N107"/>
    <mergeCell ref="N127:N128"/>
    <mergeCell ref="N134:N135"/>
    <mergeCell ref="R1:R2"/>
    <mergeCell ref="BM60:BO60"/>
    <mergeCell ref="C125:C130"/>
    <mergeCell ref="D125:G130"/>
    <mergeCell ref="C104:C109"/>
    <mergeCell ref="O104:R109"/>
    <mergeCell ref="O111:R116"/>
    <mergeCell ref="O118:R123"/>
    <mergeCell ref="O125:R130"/>
    <mergeCell ref="C111:C116"/>
    <mergeCell ref="D111:G116"/>
    <mergeCell ref="C74:G77"/>
    <mergeCell ref="O90:R95"/>
    <mergeCell ref="I74:R77"/>
    <mergeCell ref="I83:J88"/>
    <mergeCell ref="K83:L88"/>
    <mergeCell ref="D118:G123"/>
    <mergeCell ref="K111:L116"/>
    <mergeCell ref="C90:C95"/>
    <mergeCell ref="D90:G95"/>
    <mergeCell ref="O97:R102"/>
    <mergeCell ref="D97:G102"/>
    <mergeCell ref="I90:J95"/>
    <mergeCell ref="K90:L95"/>
    <mergeCell ref="O83:R88"/>
    <mergeCell ref="BU210:BX210"/>
    <mergeCell ref="C173:D173"/>
    <mergeCell ref="C171:D171"/>
    <mergeCell ref="C178:D178"/>
    <mergeCell ref="C179:D179"/>
    <mergeCell ref="C176:D176"/>
    <mergeCell ref="C177:D177"/>
    <mergeCell ref="C174:D174"/>
    <mergeCell ref="C175:D175"/>
    <mergeCell ref="H174:I174"/>
    <mergeCell ref="H175:I175"/>
    <mergeCell ref="H176:I176"/>
    <mergeCell ref="H177:I177"/>
    <mergeCell ref="H178:I178"/>
    <mergeCell ref="H179:I179"/>
    <mergeCell ref="H173:I173"/>
    <mergeCell ref="O195:O196"/>
    <mergeCell ref="H170:I170"/>
    <mergeCell ref="H171:I171"/>
    <mergeCell ref="H172:I172"/>
    <mergeCell ref="C181:L183"/>
    <mergeCell ref="C170:D170"/>
    <mergeCell ref="D146:G151"/>
    <mergeCell ref="BV216:BX217"/>
    <mergeCell ref="BU216:BU217"/>
    <mergeCell ref="BY216:BZ217"/>
    <mergeCell ref="CA216:CA217"/>
    <mergeCell ref="CB216:CD217"/>
    <mergeCell ref="BV218:BX221"/>
    <mergeCell ref="BU218:BU221"/>
    <mergeCell ref="BY218:BZ221"/>
    <mergeCell ref="CA218:CA221"/>
    <mergeCell ref="CB218:CD221"/>
    <mergeCell ref="BY213:BZ215"/>
    <mergeCell ref="BV211:BX212"/>
    <mergeCell ref="BU211:BU212"/>
    <mergeCell ref="BU195:CD196"/>
    <mergeCell ref="BU200:CD200"/>
    <mergeCell ref="BU208:CB209"/>
    <mergeCell ref="CB211:CD212"/>
    <mergeCell ref="CA211:CA212"/>
    <mergeCell ref="BY211:BZ212"/>
    <mergeCell ref="BU203:CB203"/>
    <mergeCell ref="BV213:BX215"/>
    <mergeCell ref="BU213:BU215"/>
    <mergeCell ref="BY198:CB199"/>
    <mergeCell ref="BU205:CD206"/>
    <mergeCell ref="BY244:CC244"/>
    <mergeCell ref="BY245:CC245"/>
    <mergeCell ref="BU242:BV242"/>
    <mergeCell ref="BV233:BX234"/>
    <mergeCell ref="BU233:BU234"/>
    <mergeCell ref="BY233:BZ234"/>
    <mergeCell ref="CA233:CA234"/>
    <mergeCell ref="CB233:CD234"/>
    <mergeCell ref="BV231:BX232"/>
    <mergeCell ref="BU231:BU232"/>
    <mergeCell ref="BY231:BZ232"/>
    <mergeCell ref="CA231:CA232"/>
    <mergeCell ref="CB231:CD232"/>
    <mergeCell ref="BU236:CD237"/>
    <mergeCell ref="BU238:CC239"/>
    <mergeCell ref="BV229:BX230"/>
    <mergeCell ref="BU229:BU230"/>
    <mergeCell ref="BY229:BZ230"/>
    <mergeCell ref="CA229:CA230"/>
    <mergeCell ref="CB229:CD230"/>
    <mergeCell ref="BV226:BX228"/>
    <mergeCell ref="BU226:BU228"/>
    <mergeCell ref="BY226:BZ228"/>
    <mergeCell ref="CA226:CA228"/>
    <mergeCell ref="CB226:CD228"/>
    <mergeCell ref="BV224:BX225"/>
    <mergeCell ref="BU224:BU225"/>
    <mergeCell ref="BY224:BZ225"/>
    <mergeCell ref="CA224:CA225"/>
    <mergeCell ref="CB224:CD225"/>
    <mergeCell ref="C9:F9"/>
    <mergeCell ref="C6:F6"/>
    <mergeCell ref="C12:F12"/>
    <mergeCell ref="D83:G88"/>
    <mergeCell ref="C83:C88"/>
    <mergeCell ref="C172:D172"/>
    <mergeCell ref="C158:G158"/>
    <mergeCell ref="C159:G160"/>
    <mergeCell ref="C97:C102"/>
    <mergeCell ref="C146:C151"/>
    <mergeCell ref="C132:C137"/>
    <mergeCell ref="D132:G137"/>
    <mergeCell ref="C139:C144"/>
    <mergeCell ref="D139:G144"/>
    <mergeCell ref="O132:R137"/>
    <mergeCell ref="O139:R144"/>
    <mergeCell ref="O146:R151"/>
    <mergeCell ref="C118:C123"/>
    <mergeCell ref="I111:J116"/>
  </mergeCells>
  <conditionalFormatting sqref="BU203">
    <cfRule type="expression" dxfId="358" priority="1392">
      <formula>$AW$184=TRUE</formula>
    </cfRule>
  </conditionalFormatting>
  <conditionalFormatting sqref="BU208">
    <cfRule type="expression" dxfId="357" priority="1059">
      <formula>$AW$184=TRUE</formula>
    </cfRule>
  </conditionalFormatting>
  <conditionalFormatting sqref="C83:G88">
    <cfRule type="expression" dxfId="356" priority="629">
      <formula>$X$89=TRUE</formula>
    </cfRule>
  </conditionalFormatting>
  <conditionalFormatting sqref="C90:G95">
    <cfRule type="expression" dxfId="355" priority="628">
      <formula>$X$90=TRUE</formula>
    </cfRule>
  </conditionalFormatting>
  <conditionalFormatting sqref="C97:G102">
    <cfRule type="expression" dxfId="354" priority="627">
      <formula>$X$91=TRUE</formula>
    </cfRule>
  </conditionalFormatting>
  <conditionalFormatting sqref="C104:G109">
    <cfRule type="expression" dxfId="353" priority="626">
      <formula>$X$92=TRUE</formula>
    </cfRule>
  </conditionalFormatting>
  <conditionalFormatting sqref="C111:G116">
    <cfRule type="expression" dxfId="352" priority="625">
      <formula>$X$93=TRUE</formula>
    </cfRule>
  </conditionalFormatting>
  <conditionalFormatting sqref="C118:G123">
    <cfRule type="expression" dxfId="351" priority="624">
      <formula>$X$94=TRUE</formula>
    </cfRule>
  </conditionalFormatting>
  <conditionalFormatting sqref="C125:G130">
    <cfRule type="expression" dxfId="350" priority="623">
      <formula>$X$95=TRUE</formula>
    </cfRule>
  </conditionalFormatting>
  <conditionalFormatting sqref="C132:G137">
    <cfRule type="expression" dxfId="349" priority="622">
      <formula>$X$96=TRUE</formula>
    </cfRule>
  </conditionalFormatting>
  <conditionalFormatting sqref="C139:G144">
    <cfRule type="expression" dxfId="348" priority="621">
      <formula>$X$97=TRUE</formula>
    </cfRule>
  </conditionalFormatting>
  <conditionalFormatting sqref="C146:G151">
    <cfRule type="expression" dxfId="347" priority="620">
      <formula>$X$98=TRUE</formula>
    </cfRule>
  </conditionalFormatting>
  <conditionalFormatting sqref="K83:L88">
    <cfRule type="expression" dxfId="346" priority="567">
      <formula>$Z$89=TRUE</formula>
    </cfRule>
  </conditionalFormatting>
  <conditionalFormatting sqref="I83:J88">
    <cfRule type="expression" dxfId="345" priority="566">
      <formula>$Y$89=TRUE</formula>
    </cfRule>
  </conditionalFormatting>
  <conditionalFormatting sqref="K90:L95">
    <cfRule type="expression" dxfId="344" priority="527">
      <formula>$Z$90=TRUE</formula>
    </cfRule>
  </conditionalFormatting>
  <conditionalFormatting sqref="I90:J95">
    <cfRule type="expression" dxfId="343" priority="526">
      <formula>$Y$90=TRUE</formula>
    </cfRule>
  </conditionalFormatting>
  <conditionalFormatting sqref="K97:L102">
    <cfRule type="expression" dxfId="342" priority="525">
      <formula>$Z$91=TRUE</formula>
    </cfRule>
  </conditionalFormatting>
  <conditionalFormatting sqref="I97:J102">
    <cfRule type="expression" dxfId="341" priority="524">
      <formula>$Y$91=TRUE</formula>
    </cfRule>
  </conditionalFormatting>
  <conditionalFormatting sqref="K104:L109">
    <cfRule type="expression" dxfId="340" priority="523">
      <formula>$Z$92=TRUE</formula>
    </cfRule>
  </conditionalFormatting>
  <conditionalFormatting sqref="I104:J109">
    <cfRule type="expression" dxfId="339" priority="522">
      <formula>$Y$92=TRUE</formula>
    </cfRule>
  </conditionalFormatting>
  <conditionalFormatting sqref="K111:L116">
    <cfRule type="expression" dxfId="338" priority="521">
      <formula>$Z$93=TRUE</formula>
    </cfRule>
  </conditionalFormatting>
  <conditionalFormatting sqref="I111:J116">
    <cfRule type="expression" dxfId="337" priority="520">
      <formula>$Y$93=TRUE</formula>
    </cfRule>
  </conditionalFormatting>
  <conditionalFormatting sqref="K118:L123">
    <cfRule type="expression" dxfId="336" priority="519">
      <formula>$Z$94=TRUE</formula>
    </cfRule>
  </conditionalFormatting>
  <conditionalFormatting sqref="I118:J123">
    <cfRule type="expression" dxfId="335" priority="518">
      <formula>$Y$94=TRUE</formula>
    </cfRule>
  </conditionalFormatting>
  <conditionalFormatting sqref="K125:L130">
    <cfRule type="expression" dxfId="334" priority="517">
      <formula>$Z$95=TRUE</formula>
    </cfRule>
  </conditionalFormatting>
  <conditionalFormatting sqref="I125:J130">
    <cfRule type="expression" dxfId="333" priority="516">
      <formula>$Y$95=TRUE</formula>
    </cfRule>
  </conditionalFormatting>
  <conditionalFormatting sqref="K132:L137">
    <cfRule type="expression" dxfId="332" priority="515">
      <formula>$Z$96=TRUE</formula>
    </cfRule>
  </conditionalFormatting>
  <conditionalFormatting sqref="I132:J137">
    <cfRule type="expression" dxfId="331" priority="514">
      <formula>$Y$96=TRUE</formula>
    </cfRule>
  </conditionalFormatting>
  <conditionalFormatting sqref="K139:L144">
    <cfRule type="expression" dxfId="330" priority="513">
      <formula>$Z$97=TRUE</formula>
    </cfRule>
  </conditionalFormatting>
  <conditionalFormatting sqref="I139:J144">
    <cfRule type="expression" dxfId="329" priority="512">
      <formula>$Y$97=TRUE</formula>
    </cfRule>
  </conditionalFormatting>
  <conditionalFormatting sqref="K146:L151">
    <cfRule type="expression" dxfId="328" priority="511">
      <formula>$Z$98=TRUE</formula>
    </cfRule>
  </conditionalFormatting>
  <conditionalFormatting sqref="I146:J151">
    <cfRule type="expression" dxfId="327" priority="510">
      <formula>$Y$98=TRUE</formula>
    </cfRule>
  </conditionalFormatting>
  <conditionalFormatting sqref="O83:R88">
    <cfRule type="expression" dxfId="326" priority="509">
      <formula>$X$89=TRUE</formula>
    </cfRule>
    <cfRule type="expression" dxfId="325" priority="83">
      <formula>T83=TRUE</formula>
    </cfRule>
    <cfRule type="expression" dxfId="324" priority="61">
      <formula>$T$84</formula>
    </cfRule>
    <cfRule type="expression" dxfId="323" priority="17">
      <formula>$T$82=TRUE</formula>
    </cfRule>
  </conditionalFormatting>
  <conditionalFormatting sqref="O90:R95">
    <cfRule type="expression" dxfId="322" priority="508">
      <formula>$X$90=TRUE</formula>
    </cfRule>
    <cfRule type="expression" dxfId="321" priority="100">
      <formula>S62=TRUE</formula>
    </cfRule>
  </conditionalFormatting>
  <conditionalFormatting sqref="O97:R102">
    <cfRule type="expression" dxfId="320" priority="507">
      <formula>$X$91=TRUE</formula>
    </cfRule>
  </conditionalFormatting>
  <conditionalFormatting sqref="O104:R109">
    <cfRule type="expression" dxfId="319" priority="506">
      <formula>$X$92=TRUE</formula>
    </cfRule>
  </conditionalFormatting>
  <conditionalFormatting sqref="O111:R116">
    <cfRule type="expression" dxfId="318" priority="505">
      <formula>$X$93=TRUE</formula>
    </cfRule>
  </conditionalFormatting>
  <conditionalFormatting sqref="O118:R123">
    <cfRule type="expression" dxfId="317" priority="504">
      <formula>$X$94=TRUE</formula>
    </cfRule>
  </conditionalFormatting>
  <conditionalFormatting sqref="O125:R130">
    <cfRule type="expression" dxfId="316" priority="503">
      <formula>$X$95=TRUE</formula>
    </cfRule>
  </conditionalFormatting>
  <conditionalFormatting sqref="O132:R137">
    <cfRule type="expression" dxfId="315" priority="502">
      <formula>$X$96=TRUE</formula>
    </cfRule>
  </conditionalFormatting>
  <conditionalFormatting sqref="O139:R144">
    <cfRule type="expression" dxfId="314" priority="501">
      <formula>$X$97=TRUE</formula>
    </cfRule>
  </conditionalFormatting>
  <conditionalFormatting sqref="O146:R151">
    <cfRule type="expression" dxfId="313" priority="500">
      <formula>$X$98=TRUE</formula>
    </cfRule>
  </conditionalFormatting>
  <conditionalFormatting sqref="C159:G160">
    <cfRule type="expression" dxfId="312" priority="111">
      <formula>V68=TRUE</formula>
    </cfRule>
    <cfRule type="expression" dxfId="311" priority="112">
      <formula>V69=TRUE</formula>
    </cfRule>
    <cfRule type="expression" dxfId="310" priority="304">
      <formula>V66=TRUE</formula>
    </cfRule>
    <cfRule type="expression" dxfId="309" priority="305">
      <formula>V64=TRUE</formula>
    </cfRule>
    <cfRule type="expression" dxfId="308" priority="307">
      <formula>OR($T$71=TRUE,T67=TRUE)</formula>
    </cfRule>
    <cfRule type="expression" dxfId="307" priority="308">
      <formula>$T$71=TRUE</formula>
    </cfRule>
    <cfRule type="expression" dxfId="306" priority="309">
      <formula>$T$66=TRUE</formula>
    </cfRule>
    <cfRule type="expression" dxfId="305" priority="377">
      <formula>$U$64=TRUE</formula>
    </cfRule>
    <cfRule type="expression" dxfId="304" priority="378">
      <formula>$T$64=TRUE</formula>
    </cfRule>
    <cfRule type="expression" dxfId="303" priority="379">
      <formula>$U$66=TRUE</formula>
    </cfRule>
    <cfRule type="expression" dxfId="302" priority="384">
      <formula>$U$71=TRUE</formula>
    </cfRule>
    <cfRule type="expression" dxfId="301" priority="385">
      <formula>$U$63=TRUE</formula>
    </cfRule>
    <cfRule type="expression" dxfId="300" priority="388">
      <formula>$W$59=TRUE</formula>
    </cfRule>
  </conditionalFormatting>
  <conditionalFormatting sqref="C158:G158">
    <cfRule type="expression" dxfId="299" priority="380">
      <formula>OR($T$71=TRUE,T67=TRUE)</formula>
    </cfRule>
    <cfRule type="expression" dxfId="298" priority="381">
      <formula>$T$67=TRUE</formula>
    </cfRule>
    <cfRule type="expression" dxfId="297" priority="386">
      <formula>$U$64=TRUE</formula>
    </cfRule>
    <cfRule type="expression" dxfId="296" priority="387">
      <formula>$W$59=TRUE</formula>
    </cfRule>
  </conditionalFormatting>
  <conditionalFormatting sqref="C159:G160">
    <cfRule type="expression" dxfId="295" priority="389">
      <formula>$X$104=TRUE</formula>
    </cfRule>
    <cfRule type="expression" dxfId="294" priority="390">
      <formula>$W$59=TRUE</formula>
    </cfRule>
  </conditionalFormatting>
  <conditionalFormatting sqref="C158:G160">
    <cfRule type="expression" dxfId="293" priority="391">
      <formula>$X$104=TRUE</formula>
    </cfRule>
  </conditionalFormatting>
  <conditionalFormatting sqref="C161:G162">
    <cfRule type="expression" dxfId="292" priority="302">
      <formula>V72</formula>
    </cfRule>
    <cfRule type="expression" dxfId="291" priority="376">
      <formula>$T$71=TRUE</formula>
    </cfRule>
    <cfRule type="expression" dxfId="290" priority="392">
      <formula>$W$59=TRUE</formula>
    </cfRule>
    <cfRule type="expression" dxfId="289" priority="393">
      <formula>$X$105=TRUE</formula>
    </cfRule>
    <cfRule type="expression" dxfId="288" priority="394">
      <formula>$X$105=TRUE</formula>
    </cfRule>
  </conditionalFormatting>
  <conditionalFormatting sqref="C158:G158">
    <cfRule type="expression" dxfId="287" priority="395">
      <formula>$X$104=TRUE</formula>
    </cfRule>
  </conditionalFormatting>
  <conditionalFormatting sqref="H158:H160">
    <cfRule type="expression" dxfId="286" priority="373">
      <formula>$W$59=TRUE</formula>
    </cfRule>
  </conditionalFormatting>
  <conditionalFormatting sqref="H158:H160">
    <cfRule type="expression" dxfId="285" priority="374">
      <formula>$Y$104=TRUE</formula>
    </cfRule>
    <cfRule type="expression" dxfId="284" priority="375">
      <formula>$X$104=TRUE</formula>
    </cfRule>
  </conditionalFormatting>
  <conditionalFormatting sqref="I158:L160">
    <cfRule type="expression" dxfId="283" priority="371">
      <formula>$Y$104=TRUE</formula>
    </cfRule>
    <cfRule type="expression" dxfId="282" priority="372">
      <formula>$W$59=TRUE</formula>
    </cfRule>
  </conditionalFormatting>
  <conditionalFormatting sqref="H161">
    <cfRule type="expression" dxfId="281" priority="369">
      <formula>$W$59=TRUE</formula>
    </cfRule>
  </conditionalFormatting>
  <conditionalFormatting sqref="H161">
    <cfRule type="expression" dxfId="280" priority="370">
      <formula>$X$105=TRUE</formula>
    </cfRule>
  </conditionalFormatting>
  <conditionalFormatting sqref="I161:L161">
    <cfRule type="expression" dxfId="279" priority="368">
      <formula>$W$59=TRUE</formula>
    </cfRule>
  </conditionalFormatting>
  <conditionalFormatting sqref="M158:M160">
    <cfRule type="expression" dxfId="278" priority="367">
      <formula>$W$59=TRUE</formula>
    </cfRule>
  </conditionalFormatting>
  <conditionalFormatting sqref="C157:L157">
    <cfRule type="expression" dxfId="277" priority="365">
      <formula>$W$59=TRUE</formula>
    </cfRule>
  </conditionalFormatting>
  <conditionalFormatting sqref="I157:L157">
    <cfRule type="expression" dxfId="276" priority="366">
      <formula>$Y$104=TRUE</formula>
    </cfRule>
  </conditionalFormatting>
  <conditionalFormatting sqref="B159:B160">
    <cfRule type="expression" dxfId="275" priority="364">
      <formula>$W$59=TRUE</formula>
    </cfRule>
  </conditionalFormatting>
  <conditionalFormatting sqref="B158">
    <cfRule type="expression" dxfId="274" priority="363">
      <formula>$W$59=TRUE</formula>
    </cfRule>
  </conditionalFormatting>
  <conditionalFormatting sqref="C164:L165">
    <cfRule type="expression" dxfId="273" priority="362">
      <formula>$W$59=TRUE</formula>
    </cfRule>
  </conditionalFormatting>
  <conditionalFormatting sqref="C168:D169">
    <cfRule type="expression" dxfId="272" priority="361">
      <formula>$W$59=TRUE</formula>
    </cfRule>
  </conditionalFormatting>
  <conditionalFormatting sqref="C168:D169">
    <cfRule type="expression" dxfId="271" priority="360">
      <formula>$W$59=TRUE</formula>
    </cfRule>
  </conditionalFormatting>
  <conditionalFormatting sqref="C170:D179">
    <cfRule type="expression" dxfId="270" priority="359">
      <formula>$W$59=TRUE</formula>
    </cfRule>
  </conditionalFormatting>
  <conditionalFormatting sqref="C170:D179">
    <cfRule type="expression" dxfId="269" priority="358">
      <formula>$W$59=TRUE</formula>
    </cfRule>
  </conditionalFormatting>
  <conditionalFormatting sqref="C170:D179">
    <cfRule type="expression" dxfId="268" priority="357">
      <formula>$T$48=TRUE</formula>
    </cfRule>
  </conditionalFormatting>
  <conditionalFormatting sqref="E168:E169">
    <cfRule type="expression" dxfId="267" priority="356">
      <formula>$W$59=TRUE</formula>
    </cfRule>
  </conditionalFormatting>
  <conditionalFormatting sqref="E168:E169">
    <cfRule type="expression" dxfId="266" priority="355">
      <formula>$W$59=TRUE</formula>
    </cfRule>
  </conditionalFormatting>
  <conditionalFormatting sqref="E170:E179">
    <cfRule type="expression" dxfId="265" priority="354">
      <formula>$W$59=TRUE</formula>
    </cfRule>
  </conditionalFormatting>
  <conditionalFormatting sqref="E170:E179">
    <cfRule type="expression" dxfId="264" priority="353">
      <formula>$W$59=TRUE</formula>
    </cfRule>
  </conditionalFormatting>
  <conditionalFormatting sqref="E170:E179">
    <cfRule type="expression" dxfId="263" priority="352">
      <formula>$T$48=TRUE</formula>
    </cfRule>
  </conditionalFormatting>
  <conditionalFormatting sqref="F170:F179">
    <cfRule type="expression" dxfId="262" priority="351">
      <formula>$W$59=TRUE</formula>
    </cfRule>
  </conditionalFormatting>
  <conditionalFormatting sqref="F170:F179">
    <cfRule type="expression" dxfId="261" priority="350">
      <formula>$W$59=TRUE</formula>
    </cfRule>
  </conditionalFormatting>
  <conditionalFormatting sqref="F170:F179">
    <cfRule type="expression" dxfId="260" priority="349">
      <formula>$T$48=TRUE</formula>
    </cfRule>
  </conditionalFormatting>
  <conditionalFormatting sqref="F168 F169:G169">
    <cfRule type="expression" dxfId="259" priority="348">
      <formula>$W$59=TRUE</formula>
    </cfRule>
  </conditionalFormatting>
  <conditionalFormatting sqref="F168:G168">
    <cfRule type="expression" dxfId="258" priority="347">
      <formula>$W$59=TRUE</formula>
    </cfRule>
  </conditionalFormatting>
  <conditionalFormatting sqref="G169">
    <cfRule type="expression" dxfId="257" priority="346">
      <formula>$W$59=TRUE</formula>
    </cfRule>
  </conditionalFormatting>
  <conditionalFormatting sqref="F169">
    <cfRule type="expression" dxfId="256" priority="345">
      <formula>$W$59=TRUE</formula>
    </cfRule>
  </conditionalFormatting>
  <conditionalFormatting sqref="G170:G179">
    <cfRule type="expression" dxfId="255" priority="344">
      <formula>$W$59=TRUE</formula>
    </cfRule>
  </conditionalFormatting>
  <conditionalFormatting sqref="G170:G179">
    <cfRule type="expression" dxfId="254" priority="343">
      <formula>$W$59=TRUE</formula>
    </cfRule>
  </conditionalFormatting>
  <conditionalFormatting sqref="G170:G179">
    <cfRule type="expression" dxfId="253" priority="342">
      <formula>$T$48=TRUE</formula>
    </cfRule>
  </conditionalFormatting>
  <conditionalFormatting sqref="H168">
    <cfRule type="expression" dxfId="252" priority="341">
      <formula>$W$59=TRUE</formula>
    </cfRule>
  </conditionalFormatting>
  <conditionalFormatting sqref="H170:I179">
    <cfRule type="expression" dxfId="251" priority="340">
      <formula>$W$59=TRUE</formula>
    </cfRule>
  </conditionalFormatting>
  <conditionalFormatting sqref="H170:I179">
    <cfRule type="expression" dxfId="250" priority="339">
      <formula>$W$59=TRUE</formula>
    </cfRule>
  </conditionalFormatting>
  <conditionalFormatting sqref="H170:I179">
    <cfRule type="expression" dxfId="249" priority="338">
      <formula>$W$59=TRUE</formula>
    </cfRule>
  </conditionalFormatting>
  <conditionalFormatting sqref="H168:I169">
    <cfRule type="expression" dxfId="248" priority="337">
      <formula>$W$59=TRUE</formula>
    </cfRule>
  </conditionalFormatting>
  <conditionalFormatting sqref="H170:I179">
    <cfRule type="expression" dxfId="247" priority="336">
      <formula>$T$48=TRUE</formula>
    </cfRule>
  </conditionalFormatting>
  <conditionalFormatting sqref="J168">
    <cfRule type="expression" dxfId="246" priority="335">
      <formula>$W$59=TRUE</formula>
    </cfRule>
  </conditionalFormatting>
  <conditionalFormatting sqref="K170:K179">
    <cfRule type="expression" dxfId="245" priority="332">
      <formula>$W$59=TRUE</formula>
    </cfRule>
  </conditionalFormatting>
  <conditionalFormatting sqref="K170:K179">
    <cfRule type="expression" dxfId="244" priority="331">
      <formula>$W$59=TRUE</formula>
    </cfRule>
  </conditionalFormatting>
  <conditionalFormatting sqref="J168:K169">
    <cfRule type="expression" dxfId="243" priority="330">
      <formula>$W$59=TRUE</formula>
    </cfRule>
  </conditionalFormatting>
  <conditionalFormatting sqref="K170">
    <cfRule type="expression" dxfId="242" priority="329">
      <formula>$AC$178=FALSE</formula>
    </cfRule>
  </conditionalFormatting>
  <conditionalFormatting sqref="K171">
    <cfRule type="expression" dxfId="241" priority="328">
      <formula>$AC$179=FALSE</formula>
    </cfRule>
  </conditionalFormatting>
  <conditionalFormatting sqref="K172">
    <cfRule type="expression" dxfId="240" priority="327">
      <formula>$AC$180=FALSE</formula>
    </cfRule>
  </conditionalFormatting>
  <conditionalFormatting sqref="K173">
    <cfRule type="expression" dxfId="239" priority="326">
      <formula>$AC$181=FALSE</formula>
    </cfRule>
  </conditionalFormatting>
  <conditionalFormatting sqref="K174">
    <cfRule type="expression" dxfId="238" priority="325">
      <formula>$AC$182=FALSE</formula>
    </cfRule>
  </conditionalFormatting>
  <conditionalFormatting sqref="K175">
    <cfRule type="expression" dxfId="237" priority="324">
      <formula>$AC$183=FALSE</formula>
    </cfRule>
  </conditionalFormatting>
  <conditionalFormatting sqref="K176">
    <cfRule type="expression" dxfId="236" priority="323">
      <formula>$AC$184=FALSE</formula>
    </cfRule>
  </conditionalFormatting>
  <conditionalFormatting sqref="K177">
    <cfRule type="expression" dxfId="235" priority="322">
      <formula>$AC$185=FALSE</formula>
    </cfRule>
  </conditionalFormatting>
  <conditionalFormatting sqref="K178">
    <cfRule type="expression" dxfId="234" priority="321">
      <formula>$AC$186=FALSE</formula>
    </cfRule>
  </conditionalFormatting>
  <conditionalFormatting sqref="K179">
    <cfRule type="expression" dxfId="233" priority="320">
      <formula>$AC$187=FALSE</formula>
    </cfRule>
  </conditionalFormatting>
  <conditionalFormatting sqref="K170:K179">
    <cfRule type="expression" dxfId="232" priority="319">
      <formula>$T$48=TRUE</formula>
    </cfRule>
  </conditionalFormatting>
  <conditionalFormatting sqref="L168:L169">
    <cfRule type="expression" dxfId="231" priority="318">
      <formula>$W$59=TRUE</formula>
    </cfRule>
  </conditionalFormatting>
  <conditionalFormatting sqref="L168:L169">
    <cfRule type="expression" dxfId="230" priority="317">
      <formula>$W$59=TRUE</formula>
    </cfRule>
  </conditionalFormatting>
  <conditionalFormatting sqref="L170:L179">
    <cfRule type="expression" dxfId="229" priority="316">
      <formula>$W$59=TRUE</formula>
    </cfRule>
  </conditionalFormatting>
  <conditionalFormatting sqref="L170:L179">
    <cfRule type="expression" dxfId="228" priority="315">
      <formula>$W$59=TRUE</formula>
    </cfRule>
  </conditionalFormatting>
  <conditionalFormatting sqref="L170:L179">
    <cfRule type="expression" dxfId="227" priority="314">
      <formula>$T$48=TRUE</formula>
    </cfRule>
  </conditionalFormatting>
  <conditionalFormatting sqref="C181:L183">
    <cfRule type="expression" dxfId="226" priority="313">
      <formula>$W$188=FALSE</formula>
    </cfRule>
  </conditionalFormatting>
  <conditionalFormatting sqref="H162">
    <cfRule type="expression" dxfId="225" priority="113">
      <formula>T66=TRUE</formula>
    </cfRule>
    <cfRule type="expression" dxfId="224" priority="306">
      <formula>R72=TRUE</formula>
    </cfRule>
  </conditionalFormatting>
  <conditionalFormatting sqref="H162">
    <cfRule type="expression" dxfId="223" priority="311">
      <formula>$Y$104=TRUE</formula>
    </cfRule>
    <cfRule type="expression" dxfId="222" priority="312">
      <formula>$X$104=TRUE</formula>
    </cfRule>
  </conditionalFormatting>
  <conditionalFormatting sqref="J170:J178">
    <cfRule type="expression" dxfId="221" priority="294">
      <formula>$W$59=TRUE</formula>
    </cfRule>
  </conditionalFormatting>
  <conditionalFormatting sqref="J170:J178">
    <cfRule type="expression" dxfId="220" priority="293">
      <formula>$W$59=TRUE</formula>
    </cfRule>
  </conditionalFormatting>
  <conditionalFormatting sqref="J170">
    <cfRule type="expression" dxfId="219" priority="292">
      <formula>$AC$178=FALSE</formula>
    </cfRule>
  </conditionalFormatting>
  <conditionalFormatting sqref="J171">
    <cfRule type="expression" dxfId="218" priority="291">
      <formula>$AC$179=FALSE</formula>
    </cfRule>
  </conditionalFormatting>
  <conditionalFormatting sqref="J172">
    <cfRule type="expression" dxfId="217" priority="290">
      <formula>$AC$180=FALSE</formula>
    </cfRule>
  </conditionalFormatting>
  <conditionalFormatting sqref="J173">
    <cfRule type="expression" dxfId="216" priority="289">
      <formula>$AC$181=FALSE</formula>
    </cfRule>
  </conditionalFormatting>
  <conditionalFormatting sqref="J174">
    <cfRule type="expression" dxfId="215" priority="288">
      <formula>$AC$182=FALSE</formula>
    </cfRule>
  </conditionalFormatting>
  <conditionalFormatting sqref="J175">
    <cfRule type="expression" dxfId="214" priority="287">
      <formula>$AC$183=FALSE</formula>
    </cfRule>
  </conditionalFormatting>
  <conditionalFormatting sqref="J176">
    <cfRule type="expression" dxfId="213" priority="286">
      <formula>$AC$184=FALSE</formula>
    </cfRule>
  </conditionalFormatting>
  <conditionalFormatting sqref="J177">
    <cfRule type="expression" dxfId="212" priority="285">
      <formula>$AC$185=FALSE</formula>
    </cfRule>
  </conditionalFormatting>
  <conditionalFormatting sqref="J178">
    <cfRule type="expression" dxfId="211" priority="284">
      <formula>$AC$186=FALSE</formula>
    </cfRule>
  </conditionalFormatting>
  <conditionalFormatting sqref="J170:J178">
    <cfRule type="expression" dxfId="210" priority="283">
      <formula>$T$48=TRUE</formula>
    </cfRule>
  </conditionalFormatting>
  <conditionalFormatting sqref="J179">
    <cfRule type="expression" dxfId="209" priority="282">
      <formula>$W$59=TRUE</formula>
    </cfRule>
  </conditionalFormatting>
  <conditionalFormatting sqref="J179">
    <cfRule type="expression" dxfId="208" priority="281">
      <formula>$W$59=TRUE</formula>
    </cfRule>
  </conditionalFormatting>
  <conditionalFormatting sqref="J179">
    <cfRule type="expression" dxfId="207" priority="280">
      <formula>$AC$187=FALSE</formula>
    </cfRule>
  </conditionalFormatting>
  <conditionalFormatting sqref="J179">
    <cfRule type="expression" dxfId="206" priority="279">
      <formula>$T$48=TRUE</formula>
    </cfRule>
  </conditionalFormatting>
  <conditionalFormatting sqref="BY218:CD221">
    <cfRule type="expression" dxfId="205" priority="188">
      <formula>$W$59=TRUE</formula>
    </cfRule>
  </conditionalFormatting>
  <conditionalFormatting sqref="BU211:BX215">
    <cfRule type="expression" dxfId="204" priority="262">
      <formula>$W$59=TRUE</formula>
    </cfRule>
  </conditionalFormatting>
  <conditionalFormatting sqref="CB211:CD215">
    <cfRule type="expression" dxfId="203" priority="261">
      <formula>$W$59=TRUE</formula>
    </cfRule>
  </conditionalFormatting>
  <conditionalFormatting sqref="BY211:CA212">
    <cfRule type="expression" dxfId="202" priority="175">
      <formula>$W$59=TRUE</formula>
    </cfRule>
    <cfRule type="expression" dxfId="201" priority="212">
      <formula>$T$69=TRUE</formula>
    </cfRule>
    <cfRule type="expression" dxfId="200" priority="213">
      <formula>$T$70=TRUE</formula>
    </cfRule>
    <cfRule type="expression" dxfId="199" priority="214">
      <formula>$U$69=TRUE</formula>
    </cfRule>
    <cfRule type="expression" dxfId="198" priority="215">
      <formula>$U$70=TRUE</formula>
    </cfRule>
    <cfRule type="expression" dxfId="197" priority="220">
      <formula>$R$48=1</formula>
    </cfRule>
    <cfRule type="expression" dxfId="196" priority="221">
      <formula>$R$60=10</formula>
    </cfRule>
    <cfRule type="expression" dxfId="195" priority="222">
      <formula>$R$60=9</formula>
    </cfRule>
    <cfRule type="expression" dxfId="194" priority="269">
      <formula>$R$60=1</formula>
    </cfRule>
  </conditionalFormatting>
  <conditionalFormatting sqref="BU216:CD217">
    <cfRule type="expression" dxfId="193" priority="165">
      <formula>$W$59=TRUE</formula>
    </cfRule>
    <cfRule type="expression" dxfId="192" priority="258">
      <formula>$AS$213=TRUE</formula>
    </cfRule>
  </conditionalFormatting>
  <conditionalFormatting sqref="BU233:CD234">
    <cfRule type="expression" dxfId="191" priority="133">
      <formula>$W$59=TRUE</formula>
    </cfRule>
  </conditionalFormatting>
  <conditionalFormatting sqref="BU216:BX217">
    <cfRule type="expression" dxfId="190" priority="260">
      <formula>$AT$213=TRUE</formula>
    </cfRule>
  </conditionalFormatting>
  <conditionalFormatting sqref="BU211:BX212">
    <cfRule type="expression" dxfId="189" priority="264">
      <formula>$AS$211=TRUE</formula>
    </cfRule>
    <cfRule type="expression" dxfId="188" priority="272">
      <formula>$AT$211=TRUE</formula>
    </cfRule>
  </conditionalFormatting>
  <conditionalFormatting sqref="CB211:CD212">
    <cfRule type="expression" dxfId="187" priority="174">
      <formula>$AR$211=TRUE</formula>
    </cfRule>
    <cfRule type="expression" dxfId="186" priority="271">
      <formula>$AS$211=TRUE</formula>
    </cfRule>
    <cfRule type="expression" dxfId="185" priority="274">
      <formula>$AT$211=TRUE</formula>
    </cfRule>
    <cfRule type="expression" dxfId="184" priority="65">
      <formula>$T$84=TRUE</formula>
    </cfRule>
  </conditionalFormatting>
  <conditionalFormatting sqref="BU213:BX215">
    <cfRule type="expression" dxfId="183" priority="268">
      <formula>$AS$212=TRUE</formula>
    </cfRule>
    <cfRule type="expression" dxfId="182" priority="275">
      <formula>$AT$212=TRUE</formula>
    </cfRule>
  </conditionalFormatting>
  <conditionalFormatting sqref="CB213:CD215">
    <cfRule type="expression" dxfId="181" priority="169">
      <formula>$AR$212=TRUE</formula>
    </cfRule>
    <cfRule type="expression" dxfId="180" priority="263">
      <formula>$AS$212=TRUE</formula>
    </cfRule>
    <cfRule type="expression" dxfId="179" priority="267">
      <formula>$AT$212=TRUE</formula>
    </cfRule>
    <cfRule type="expression" dxfId="178" priority="101">
      <formula>S69=TRUE</formula>
    </cfRule>
    <cfRule type="expression" dxfId="177" priority="85">
      <formula>S62=TRUE</formula>
    </cfRule>
    <cfRule type="expression" dxfId="176" priority="64">
      <formula>$T$84=TRUE</formula>
    </cfRule>
  </conditionalFormatting>
  <conditionalFormatting sqref="BY213:CA215">
    <cfRule type="expression" dxfId="175" priority="265">
      <formula>$AS$212=TRUE</formula>
    </cfRule>
    <cfRule type="expression" dxfId="174" priority="266">
      <formula>$AT$212=TRUE</formula>
    </cfRule>
  </conditionalFormatting>
  <conditionalFormatting sqref="CB216:CD217">
    <cfRule type="expression" dxfId="173" priority="164">
      <formula>$AR$213=TRUE</formula>
    </cfRule>
    <cfRule type="expression" dxfId="172" priority="277">
      <formula>$AT$213=TRUE</formula>
    </cfRule>
    <cfRule type="expression" dxfId="171" priority="102">
      <formula>S69=TRUE</formula>
    </cfRule>
    <cfRule type="expression" dxfId="170" priority="84">
      <formula>S62=TRUE</formula>
    </cfRule>
    <cfRule type="expression" dxfId="169" priority="63">
      <formula>$T$84=TRUE</formula>
    </cfRule>
  </conditionalFormatting>
  <conditionalFormatting sqref="BY216:CA217">
    <cfRule type="expression" dxfId="168" priority="259">
      <formula>$AT$213=TRUE</formula>
    </cfRule>
  </conditionalFormatting>
  <conditionalFormatting sqref="BU218:BX221">
    <cfRule type="expression" dxfId="167" priority="276">
      <formula>$AT$214=TRUE</formula>
    </cfRule>
  </conditionalFormatting>
  <conditionalFormatting sqref="CB218:CD221">
    <cfRule type="expression" dxfId="166" priority="159">
      <formula>$AR$214=TRUE</formula>
    </cfRule>
    <cfRule type="expression" dxfId="165" priority="256">
      <formula>$AT$214=TRUE</formula>
    </cfRule>
    <cfRule type="expression" dxfId="164" priority="88">
      <formula>S62=TRUE</formula>
    </cfRule>
    <cfRule type="expression" dxfId="163" priority="62">
      <formula>$T$84=TRUE</formula>
    </cfRule>
  </conditionalFormatting>
  <conditionalFormatting sqref="BY218:CA221">
    <cfRule type="expression" dxfId="162" priority="255">
      <formula>$AT$214=TRUE</formula>
    </cfRule>
  </conditionalFormatting>
  <conditionalFormatting sqref="BU218:CD221">
    <cfRule type="expression" dxfId="161" priority="253">
      <formula>$AV$214=TRUE</formula>
    </cfRule>
    <cfRule type="expression" dxfId="160" priority="254">
      <formula>$AS$214=TRUE</formula>
    </cfRule>
  </conditionalFormatting>
  <conditionalFormatting sqref="BU222:BX223">
    <cfRule type="expression" dxfId="159" priority="251">
      <formula>$AT$215=TRUE</formula>
    </cfRule>
  </conditionalFormatting>
  <conditionalFormatting sqref="CB222:CD223">
    <cfRule type="expression" dxfId="158" priority="154">
      <formula>$AR$215=TRUE</formula>
    </cfRule>
    <cfRule type="expression" dxfId="157" priority="207">
      <formula>$W$59=TRUE</formula>
    </cfRule>
    <cfRule type="expression" dxfId="156" priority="250">
      <formula>$AT$215=TRUE</formula>
    </cfRule>
    <cfRule type="expression" dxfId="155" priority="87">
      <formula>S62=TRUE</formula>
    </cfRule>
    <cfRule type="expression" dxfId="154" priority="3">
      <formula>S69=TRUE</formula>
    </cfRule>
  </conditionalFormatting>
  <conditionalFormatting sqref="BY222:CA223">
    <cfRule type="expression" dxfId="153" priority="249">
      <formula>$AT$215=TRUE</formula>
    </cfRule>
  </conditionalFormatting>
  <conditionalFormatting sqref="BU224:CD225">
    <cfRule type="expression" dxfId="152" priority="152">
      <formula>$W$59=TRUE</formula>
    </cfRule>
    <cfRule type="expression" dxfId="151" priority="197">
      <formula>$AV$216=TRUE</formula>
    </cfRule>
    <cfRule type="expression" dxfId="150" priority="243">
      <formula>$AS$216=TRUE</formula>
    </cfRule>
  </conditionalFormatting>
  <conditionalFormatting sqref="BU224:BX225">
    <cfRule type="expression" dxfId="149" priority="246">
      <formula>$AT$216=TRUE</formula>
    </cfRule>
  </conditionalFormatting>
  <conditionalFormatting sqref="BY224:CA225">
    <cfRule type="expression" dxfId="148" priority="244">
      <formula>$AT$216=TRUE</formula>
    </cfRule>
  </conditionalFormatting>
  <conditionalFormatting sqref="BU226:BX228">
    <cfRule type="expression" dxfId="147" priority="241">
      <formula>$AT$217=TRUE</formula>
    </cfRule>
  </conditionalFormatting>
  <conditionalFormatting sqref="BY226:CA228">
    <cfRule type="expression" dxfId="146" priority="239">
      <formula>$AT$217=TRUE</formula>
    </cfRule>
  </conditionalFormatting>
  <conditionalFormatting sqref="BU226:CD228">
    <cfRule type="expression" dxfId="145" priority="148">
      <formula>$W$59=TRUE</formula>
    </cfRule>
    <cfRule type="expression" dxfId="144" priority="196">
      <formula>$AV$217=TRUE</formula>
    </cfRule>
    <cfRule type="expression" dxfId="143" priority="238">
      <formula>$AS$217=TRUE</formula>
    </cfRule>
  </conditionalFormatting>
  <conditionalFormatting sqref="BU231:BX232">
    <cfRule type="expression" dxfId="142" priority="236">
      <formula>$AT$219=TRUE</formula>
    </cfRule>
  </conditionalFormatting>
  <conditionalFormatting sqref="CB231:CD232">
    <cfRule type="expression" dxfId="141" priority="134">
      <formula>$AR$219=TRUE</formula>
    </cfRule>
    <cfRule type="expression" dxfId="140" priority="235">
      <formula>$AT$219=TRUE</formula>
    </cfRule>
  </conditionalFormatting>
  <conditionalFormatting sqref="BY231:CA232">
    <cfRule type="expression" dxfId="139" priority="234">
      <formula>$AT$219=TRUE</formula>
    </cfRule>
  </conditionalFormatting>
  <conditionalFormatting sqref="BU231:CD232">
    <cfRule type="expression" dxfId="138" priority="183">
      <formula>$AV$219=TRUE</formula>
    </cfRule>
    <cfRule type="expression" dxfId="137" priority="200">
      <formula>$W$59=TRUE</formula>
    </cfRule>
    <cfRule type="expression" dxfId="136" priority="233">
      <formula>$AS$219=TRUE</formula>
    </cfRule>
  </conditionalFormatting>
  <conditionalFormatting sqref="BU233:BX234">
    <cfRule type="expression" dxfId="135" priority="278">
      <formula>$AT$220=TRUE</formula>
    </cfRule>
  </conditionalFormatting>
  <conditionalFormatting sqref="CB233:CD234">
    <cfRule type="expression" dxfId="134" priority="129">
      <formula>$AR$220=TRUE</formula>
    </cfRule>
    <cfRule type="expression" dxfId="133" priority="192">
      <formula>$AS$220=TRUE</formula>
    </cfRule>
    <cfRule type="expression" dxfId="132" priority="231">
      <formula>$AT$220=TRUE</formula>
    </cfRule>
  </conditionalFormatting>
  <conditionalFormatting sqref="BU229:BX230">
    <cfRule type="expression" dxfId="131" priority="227">
      <formula>$AT$218=TRUE</formula>
    </cfRule>
  </conditionalFormatting>
  <conditionalFormatting sqref="BY229:CA230">
    <cfRule type="expression" dxfId="130" priority="225">
      <formula>$AT$218=TRUE</formula>
    </cfRule>
  </conditionalFormatting>
  <conditionalFormatting sqref="BU229:CD230">
    <cfRule type="expression" dxfId="129" priority="184">
      <formula>$AV$218=TRUE</formula>
    </cfRule>
    <cfRule type="expression" dxfId="128" priority="195">
      <formula>$W$59=TRUE</formula>
    </cfRule>
    <cfRule type="expression" dxfId="127" priority="224">
      <formula>$AS$218=TRUE</formula>
    </cfRule>
  </conditionalFormatting>
  <conditionalFormatting sqref="BU222:CD223">
    <cfRule type="expression" dxfId="126" priority="208">
      <formula>$AV$215=TRUE</formula>
    </cfRule>
    <cfRule type="expression" dxfId="125" priority="219">
      <formula>$AS$215=TRUE</formula>
    </cfRule>
  </conditionalFormatting>
  <conditionalFormatting sqref="BY211:BZ212">
    <cfRule type="expression" dxfId="124" priority="176">
      <formula>$AR$211=TRUE</formula>
    </cfRule>
    <cfRule type="expression" dxfId="123" priority="179">
      <formula>$AT$211=TRUE</formula>
    </cfRule>
    <cfRule type="expression" dxfId="122" priority="180">
      <formula>$AS$211=TRUE</formula>
    </cfRule>
    <cfRule type="expression" dxfId="121" priority="211">
      <formula>$AS$211=TRUE</formula>
    </cfRule>
    <cfRule type="expression" dxfId="120" priority="73">
      <formula>$T$84=TRUE</formula>
    </cfRule>
  </conditionalFormatting>
  <conditionalFormatting sqref="BU218:BU221">
    <cfRule type="expression" dxfId="119" priority="163">
      <formula>$W$59=TRUE</formula>
    </cfRule>
    <cfRule type="expression" dxfId="118" priority="209">
      <formula>$AR$214=TRUE</formula>
    </cfRule>
    <cfRule type="expression" dxfId="117" priority="98">
      <formula>S62=TRUE</formula>
    </cfRule>
    <cfRule type="expression" dxfId="116" priority="78">
      <formula>$T$84=TRUE</formula>
    </cfRule>
  </conditionalFormatting>
  <conditionalFormatting sqref="BU222:BU223">
    <cfRule type="expression" dxfId="115" priority="158">
      <formula>$W$59=TRUE</formula>
    </cfRule>
    <cfRule type="expression" dxfId="114" priority="205">
      <formula>$AR$215=TRUE</formula>
    </cfRule>
    <cfRule type="expression" dxfId="113" priority="97">
      <formula>S62=TRUE</formula>
    </cfRule>
    <cfRule type="expression" dxfId="112" priority="15">
      <formula>S69=TRUE</formula>
    </cfRule>
  </conditionalFormatting>
  <conditionalFormatting sqref="BY222:BZ223">
    <cfRule type="expression" dxfId="111" priority="156">
      <formula>$AR$215=TRUE</formula>
    </cfRule>
    <cfRule type="expression" dxfId="110" priority="206">
      <formula>$W$59=TRUE</formula>
    </cfRule>
    <cfRule type="expression" dxfId="109" priority="90">
      <formula>S62=TRUE</formula>
    </cfRule>
    <cfRule type="expression" dxfId="108" priority="9">
      <formula>S69=TRUE</formula>
    </cfRule>
  </conditionalFormatting>
  <conditionalFormatting sqref="BV222:BX223">
    <cfRule type="expression" dxfId="107" priority="157">
      <formula>$W$59=TRUE</formula>
    </cfRule>
    <cfRule type="expression" dxfId="106" priority="187">
      <formula>$AR$215=TRUE</formula>
    </cfRule>
    <cfRule type="expression" dxfId="105" priority="94">
      <formula>S62=TRUE</formula>
    </cfRule>
    <cfRule type="expression" dxfId="104" priority="12">
      <formula>S69=TRUE</formula>
    </cfRule>
  </conditionalFormatting>
  <conditionalFormatting sqref="CA222:CA223">
    <cfRule type="expression" dxfId="103" priority="155">
      <formula>$AR$215=TRUE</formula>
    </cfRule>
    <cfRule type="expression" dxfId="102" priority="204">
      <formula>$W$59=TRUE</formula>
    </cfRule>
    <cfRule type="expression" dxfId="101" priority="89">
      <formula>S62=TRUE</formula>
    </cfRule>
    <cfRule type="expression" dxfId="100" priority="6">
      <formula>S69=TRUE</formula>
    </cfRule>
  </conditionalFormatting>
  <conditionalFormatting sqref="CA213:CA215">
    <cfRule type="expression" dxfId="99" priority="125">
      <formula>$BQ$204=TRUE</formula>
    </cfRule>
    <cfRule type="expression" dxfId="98" priority="170">
      <formula>$AR$212=TRUE</formula>
    </cfRule>
    <cfRule type="expression" dxfId="97" priority="199">
      <formula>$W$59=TRUE</formula>
    </cfRule>
    <cfRule type="expression" dxfId="96" priority="103">
      <formula>S69=TRUE</formula>
    </cfRule>
    <cfRule type="expression" dxfId="95" priority="68">
      <formula>$T$84=TRUE</formula>
    </cfRule>
  </conditionalFormatting>
  <conditionalFormatting sqref="BY213:BZ215">
    <cfRule type="expression" dxfId="94" priority="171">
      <formula>$AR$212=TRUE</formula>
    </cfRule>
    <cfRule type="expression" dxfId="93" priority="198">
      <formula>$W$59=TRUE</formula>
    </cfRule>
    <cfRule type="expression" dxfId="92" priority="105">
      <formula>S69=TRUE</formula>
    </cfRule>
    <cfRule type="expression" dxfId="91" priority="72">
      <formula>$T$84=TRUE</formula>
    </cfRule>
  </conditionalFormatting>
  <conditionalFormatting sqref="CB224:CD225">
    <cfRule type="expression" dxfId="90" priority="149">
      <formula>$AR$216=TRUE</formula>
    </cfRule>
    <cfRule type="expression" dxfId="89" priority="203">
      <formula>$AT$216=TRUE</formula>
    </cfRule>
    <cfRule type="expression" dxfId="88" priority="2">
      <formula>S69=TRUE</formula>
    </cfRule>
  </conditionalFormatting>
  <conditionalFormatting sqref="CB226:CD228">
    <cfRule type="expression" dxfId="87" priority="144">
      <formula>$AR$217=TRUE</formula>
    </cfRule>
    <cfRule type="expression" dxfId="86" priority="202">
      <formula>$AT$217=TRUE</formula>
    </cfRule>
    <cfRule type="expression" dxfId="85" priority="1">
      <formula>S69=TRUE</formula>
    </cfRule>
  </conditionalFormatting>
  <conditionalFormatting sqref="CB229:CD230">
    <cfRule type="expression" dxfId="84" priority="139">
      <formula>$AR$218=TRUE</formula>
    </cfRule>
    <cfRule type="expression" dxfId="83" priority="201">
      <formula>$AT$218=TRUE</formula>
    </cfRule>
  </conditionalFormatting>
  <conditionalFormatting sqref="CA233:CA234">
    <cfRule type="expression" dxfId="82" priority="130">
      <formula>$AR$220=TRUE</formula>
    </cfRule>
    <cfRule type="expression" dxfId="81" priority="191">
      <formula>$AS$220=TRUE</formula>
    </cfRule>
    <cfRule type="expression" dxfId="80" priority="217">
      <formula>$AT$220=TRUE</formula>
    </cfRule>
  </conditionalFormatting>
  <conditionalFormatting sqref="BY233:BZ234">
    <cfRule type="expression" dxfId="79" priority="131">
      <formula>$AR$220=TRUE</formula>
    </cfRule>
    <cfRule type="expression" dxfId="78" priority="194">
      <formula>$AS$220=TRUE</formula>
    </cfRule>
  </conditionalFormatting>
  <conditionalFormatting sqref="BV233:BX234">
    <cfRule type="expression" dxfId="77" priority="132">
      <formula>$AR$220=TRUE</formula>
    </cfRule>
    <cfRule type="expression" dxfId="76" priority="193">
      <formula>$AS$220=TRUE</formula>
    </cfRule>
  </conditionalFormatting>
  <conditionalFormatting sqref="BV218:BX221">
    <cfRule type="expression" dxfId="75" priority="162">
      <formula>$W$59=TRUE</formula>
    </cfRule>
    <cfRule type="expression" dxfId="74" priority="189">
      <formula>$AR$214=TRUE</formula>
    </cfRule>
    <cfRule type="expression" dxfId="73" priority="95">
      <formula>S62=TRUE</formula>
    </cfRule>
    <cfRule type="expression" dxfId="72" priority="74">
      <formula>$T$84=TRUE</formula>
    </cfRule>
  </conditionalFormatting>
  <conditionalFormatting sqref="CA211:CA212">
    <cfRule type="expression" dxfId="71" priority="181">
      <formula>$AR$211=TRUE</formula>
    </cfRule>
    <cfRule type="expression" dxfId="70" priority="182">
      <formula>$AT$211=TRUE</formula>
    </cfRule>
    <cfRule type="expression" dxfId="69" priority="210">
      <formula>$AS$211=TRUE</formula>
    </cfRule>
    <cfRule type="expression" dxfId="68" priority="69">
      <formula>$T$84=TRUE</formula>
    </cfRule>
  </conditionalFormatting>
  <conditionalFormatting sqref="BU211:BU212">
    <cfRule type="expression" dxfId="67" priority="178">
      <formula>$AR$211=TRUE</formula>
    </cfRule>
    <cfRule type="expression" dxfId="66" priority="80">
      <formula>$T$84=TRUE</formula>
    </cfRule>
  </conditionalFormatting>
  <conditionalFormatting sqref="BV211:BX212">
    <cfRule type="expression" dxfId="65" priority="177">
      <formula>$AR$211=TRUE</formula>
    </cfRule>
    <cfRule type="expression" dxfId="64" priority="77">
      <formula>$T$84=TRUE</formula>
    </cfRule>
    <cfRule type="expression" dxfId="63" priority="16">
      <formula>T84=TRUE</formula>
    </cfRule>
  </conditionalFormatting>
  <conditionalFormatting sqref="BU213:BU215">
    <cfRule type="expression" dxfId="62" priority="173">
      <formula>$AR$212=TRUE</formula>
    </cfRule>
    <cfRule type="expression" dxfId="61" priority="109">
      <formula>S69=TRUE</formula>
    </cfRule>
    <cfRule type="expression" dxfId="60" priority="86">
      <formula>S62=TRUE</formula>
    </cfRule>
    <cfRule type="expression" dxfId="59" priority="81">
      <formula>$T$84=TRUE</formula>
    </cfRule>
  </conditionalFormatting>
  <conditionalFormatting sqref="BV213:BX215">
    <cfRule type="expression" dxfId="58" priority="128">
      <formula>$BQ$204=TRUE</formula>
    </cfRule>
    <cfRule type="expression" dxfId="57" priority="172">
      <formula>$AR$212=TRUE</formula>
    </cfRule>
    <cfRule type="expression" dxfId="56" priority="107">
      <formula>S69=TRUE</formula>
    </cfRule>
    <cfRule type="expression" dxfId="55" priority="76">
      <formula>$T$84=TRUE</formula>
    </cfRule>
  </conditionalFormatting>
  <conditionalFormatting sqref="BU216:BU217">
    <cfRule type="expression" dxfId="54" priority="126">
      <formula>$BQ$204=TRUE</formula>
    </cfRule>
    <cfRule type="expression" dxfId="53" priority="168">
      <formula>$AR$213=TRUE</formula>
    </cfRule>
    <cfRule type="expression" dxfId="52" priority="110">
      <formula>S69=TRUE</formula>
    </cfRule>
    <cfRule type="expression" dxfId="51" priority="99">
      <formula>S62=TRUE</formula>
    </cfRule>
    <cfRule type="expression" dxfId="50" priority="79">
      <formula>$T$84=TRUE</formula>
    </cfRule>
  </conditionalFormatting>
  <conditionalFormatting sqref="BV216:BX217">
    <cfRule type="expression" dxfId="49" priority="127">
      <formula>$BQ$204=TRUE</formula>
    </cfRule>
    <cfRule type="expression" dxfId="48" priority="167">
      <formula>$AR$213=TRUE</formula>
    </cfRule>
    <cfRule type="expression" dxfId="47" priority="108">
      <formula>S69=TRUE</formula>
    </cfRule>
    <cfRule type="expression" dxfId="46" priority="96">
      <formula>S62=TRUE</formula>
    </cfRule>
    <cfRule type="expression" dxfId="45" priority="75">
      <formula>$T$84=TRUE</formula>
    </cfRule>
  </conditionalFormatting>
  <conditionalFormatting sqref="BY216:BZ217">
    <cfRule type="expression" dxfId="44" priority="166">
      <formula>$AR$213=TRUE</formula>
    </cfRule>
    <cfRule type="expression" dxfId="43" priority="106">
      <formula>S69=TRUE</formula>
    </cfRule>
    <cfRule type="expression" dxfId="42" priority="93">
      <formula>S62=TRUE</formula>
    </cfRule>
    <cfRule type="expression" dxfId="41" priority="71">
      <formula>$T$84=TRUE</formula>
    </cfRule>
  </conditionalFormatting>
  <conditionalFormatting sqref="CA216:CA217">
    <cfRule type="expression" dxfId="40" priority="117">
      <formula>$BQ$200=TRUE</formula>
    </cfRule>
    <cfRule type="expression" dxfId="39" priority="124">
      <formula>$BQ$204=TRUE</formula>
    </cfRule>
    <cfRule type="expression" dxfId="38" priority="257">
      <formula>$AR$213=TRUE</formula>
    </cfRule>
    <cfRule type="expression" dxfId="37" priority="104">
      <formula>S62=TRUE</formula>
    </cfRule>
    <cfRule type="expression" dxfId="36" priority="67">
      <formula>$T$84=TRUE</formula>
    </cfRule>
  </conditionalFormatting>
  <conditionalFormatting sqref="BY218:BZ221">
    <cfRule type="expression" dxfId="35" priority="161">
      <formula>$AR$214=TRUE</formula>
    </cfRule>
    <cfRule type="expression" dxfId="34" priority="92">
      <formula>S62=TRUE</formula>
    </cfRule>
    <cfRule type="expression" dxfId="33" priority="70">
      <formula>$T$84=TRUE</formula>
    </cfRule>
  </conditionalFormatting>
  <conditionalFormatting sqref="CA218:CA221">
    <cfRule type="expression" dxfId="32" priority="160">
      <formula>$AR$214=TRUE</formula>
    </cfRule>
    <cfRule type="expression" dxfId="31" priority="91">
      <formula>S62=TRUE</formula>
    </cfRule>
    <cfRule type="expression" dxfId="30" priority="66">
      <formula>$T$84=TRUE</formula>
    </cfRule>
  </conditionalFormatting>
  <conditionalFormatting sqref="BU224:BU225">
    <cfRule type="expression" dxfId="29" priority="153">
      <formula>$AR$216=TRUE</formula>
    </cfRule>
    <cfRule type="expression" dxfId="28" priority="14">
      <formula>S69=TRUE</formula>
    </cfRule>
  </conditionalFormatting>
  <conditionalFormatting sqref="BV224:BX225">
    <cfRule type="expression" dxfId="27" priority="186">
      <formula>$AR$216=TRUE</formula>
    </cfRule>
    <cfRule type="expression" dxfId="26" priority="11">
      <formula>S69=TRUE</formula>
    </cfRule>
  </conditionalFormatting>
  <conditionalFormatting sqref="BY224:BZ225">
    <cfRule type="expression" dxfId="25" priority="151">
      <formula>$AR$216=TRUE</formula>
    </cfRule>
    <cfRule type="expression" dxfId="24" priority="8">
      <formula>S69=TRUE</formula>
    </cfRule>
  </conditionalFormatting>
  <conditionalFormatting sqref="CA224:CA225">
    <cfRule type="expression" dxfId="23" priority="150">
      <formula>$AR$216=TRUE</formula>
    </cfRule>
    <cfRule type="expression" dxfId="22" priority="5">
      <formula>S69=TRUE</formula>
    </cfRule>
  </conditionalFormatting>
  <conditionalFormatting sqref="BU226:BU228">
    <cfRule type="expression" dxfId="21" priority="185">
      <formula>$AR$217=TRUE</formula>
    </cfRule>
    <cfRule type="expression" dxfId="20" priority="13">
      <formula>S69=TRUE</formula>
    </cfRule>
  </conditionalFormatting>
  <conditionalFormatting sqref="BV226:BX228">
    <cfRule type="expression" dxfId="19" priority="147">
      <formula>$AR$217=TRUE</formula>
    </cfRule>
    <cfRule type="expression" dxfId="18" priority="10">
      <formula>S69=TRUE</formula>
    </cfRule>
  </conditionalFormatting>
  <conditionalFormatting sqref="BY226:BZ228">
    <cfRule type="expression" dxfId="17" priority="146">
      <formula>$AR$217=TRUE</formula>
    </cfRule>
    <cfRule type="expression" dxfId="16" priority="7">
      <formula>S69=TRUE</formula>
    </cfRule>
  </conditionalFormatting>
  <conditionalFormatting sqref="CA226:CA228">
    <cfRule type="expression" dxfId="15" priority="145">
      <formula>$AR$217=TRUE</formula>
    </cfRule>
    <cfRule type="expression" dxfId="14" priority="4">
      <formula>S69=TRUE</formula>
    </cfRule>
  </conditionalFormatting>
  <conditionalFormatting sqref="BU229:BU230">
    <cfRule type="expression" dxfId="13" priority="143">
      <formula>$AR$218=TRUE</formula>
    </cfRule>
  </conditionalFormatting>
  <conditionalFormatting sqref="BV229:BX230">
    <cfRule type="expression" dxfId="12" priority="142">
      <formula>$AR$218=TRUE</formula>
    </cfRule>
  </conditionalFormatting>
  <conditionalFormatting sqref="BY229:BZ230">
    <cfRule type="expression" dxfId="11" priority="141">
      <formula>$AR$218=TRUE</formula>
    </cfRule>
  </conditionalFormatting>
  <conditionalFormatting sqref="CA229:CA230">
    <cfRule type="expression" dxfId="10" priority="140">
      <formula>$AR$218=TRUE</formula>
    </cfRule>
  </conditionalFormatting>
  <conditionalFormatting sqref="BU231:BU232">
    <cfRule type="expression" dxfId="9" priority="138">
      <formula>$AR$219=TRUE</formula>
    </cfRule>
  </conditionalFormatting>
  <conditionalFormatting sqref="BV231:BX232">
    <cfRule type="expression" dxfId="8" priority="137">
      <formula>$AR$219=TRUE</formula>
    </cfRule>
  </conditionalFormatting>
  <conditionalFormatting sqref="BY231:BZ232">
    <cfRule type="expression" dxfId="7" priority="136">
      <formula>$AR$219=TRUE</formula>
    </cfRule>
  </conditionalFormatting>
  <conditionalFormatting sqref="CA231:CA232">
    <cfRule type="expression" dxfId="6" priority="135">
      <formula>$AR$219=TRUE</formula>
    </cfRule>
  </conditionalFormatting>
  <conditionalFormatting sqref="BU233:BU234">
    <cfRule type="expression" dxfId="5" priority="118">
      <formula>$AS$220=TRUE</formula>
    </cfRule>
    <cfRule type="expression" dxfId="4" priority="119">
      <formula>$AR$220=TRUE</formula>
    </cfRule>
    <cfRule type="expression" dxfId="3" priority="190">
      <formula>$AV$220=TRUE</formula>
    </cfRule>
  </conditionalFormatting>
  <conditionalFormatting sqref="M122:N123">
    <cfRule type="expression" dxfId="2" priority="114">
      <formula>V48=FALSE</formula>
    </cfRule>
  </conditionalFormatting>
  <conditionalFormatting sqref="D83:G88">
    <cfRule type="expression" dxfId="1" priority="19">
      <formula>$T$84=TRUE</formula>
    </cfRule>
    <cfRule type="expression" dxfId="0" priority="18">
      <formula>$T$82=TRUE</formula>
    </cfRule>
  </conditionalFormatting>
  <dataValidations disablePrompts="1" count="5">
    <dataValidation type="list" allowBlank="1" showInputMessage="1" showErrorMessage="1" errorTitle="Feil data..." error="Du kan bare velge mellom vannbasert (VB) eller løsemiddelbasert (LB)._x000a_" sqref="H170:I179" xr:uid="{00000000-0002-0000-0000-000000000000}">
      <formula1>$V$176:$V$177</formula1>
    </dataValidation>
    <dataValidation type="list" allowBlank="1" showInputMessage="1" showErrorMessage="1" errorTitle="Feil data..." error="Du kan bare velge mellom Ja og Nei." sqref="L170:L179" xr:uid="{00000000-0002-0000-0000-000001000000}">
      <formula1>$V$174:$V$175</formula1>
    </dataValidation>
    <dataValidation type="list" allowBlank="1" showInputMessage="1" showErrorMessage="1" errorTitle="Feil data..." error="Du må velge mellom a og l..." sqref="E170:E179" xr:uid="{00000000-0002-0000-0000-000002000000}">
      <formula1>$V$178:$V$189</formula1>
    </dataValidation>
    <dataValidation type="list" allowBlank="1" showInputMessage="1" showErrorMessage="1" sqref="K170:K179" xr:uid="{00000000-0002-0000-0000-000003000000}">
      <formula1>$W$174:$W$175</formula1>
    </dataValidation>
    <dataValidation type="list" allowBlank="1" showInputMessage="1" showErrorMessage="1" sqref="G170:G179" xr:uid="{00000000-0002-0000-0000-000004000000}">
      <formula1>$W$177</formula1>
    </dataValidation>
  </dataValidations>
  <hyperlinks>
    <hyperlink ref="O195" location="'Ark1'!A1" display="Tilbake til utfylling" xr:uid="{00000000-0004-0000-0000-000000000000}"/>
    <hyperlink ref="S152" location="'Ark1'!Utskriftsområde" display="'Ark1'!Utskriftsområde" xr:uid="{00000000-0004-0000-0000-000001000000}"/>
    <hyperlink ref="S145" location="'Ark1'!Utskriftsområde" display="'Ark1'!Utskriftsområde" xr:uid="{00000000-0004-0000-0000-000002000000}"/>
    <hyperlink ref="S124" location="'Ark1'!Utskriftsområde" display="'Ark1'!Utskriftsområde" xr:uid="{00000000-0004-0000-0000-000003000000}"/>
    <hyperlink ref="S117" location="'Ark1'!Utskriftsområde" display="'Ark1'!Utskriftsområde" xr:uid="{00000000-0004-0000-0000-000004000000}"/>
    <hyperlink ref="S89" location="'Ark1'!Utskriftsområde" display="'Ark1'!Utskriftsområde" xr:uid="{00000000-0004-0000-0000-000005000000}"/>
    <hyperlink ref="S138" location="'Ark1'!Utskriftsområde" display="'Ark1'!Utskriftsområde" xr:uid="{00000000-0004-0000-0000-000006000000}"/>
    <hyperlink ref="S131" location="'Ark1'!Utskriftsområde" display="'Ark1'!Utskriftsområde" xr:uid="{00000000-0004-0000-0000-000007000000}"/>
    <hyperlink ref="S96" location="'Ark1'!Utskriftsområde" display="'Ark1'!Utskriftsområde" xr:uid="{00000000-0004-0000-0000-000008000000}"/>
    <hyperlink ref="M179" location="'Ark1'!Utskriftsområde" display="'Ark1'!Utskriftsområde" xr:uid="{00000000-0004-0000-0000-000009000000}"/>
    <hyperlink ref="S95" location="'Ark1'!C170" display="'Ark1'!C170" xr:uid="{00000000-0004-0000-0000-00000A000000}"/>
    <hyperlink ref="S110" location="'Ark1'!Utskriftsområde" display="'Ark1'!Utskriftsområde" xr:uid="{00000000-0004-0000-0000-00000B000000}"/>
    <hyperlink ref="S103" location="'Ark1'!Utskriftsområde" display="'Ark1'!Utskriftsområde" xr:uid="{00000000-0004-0000-0000-00000C000000}"/>
  </hyperlinks>
  <pageMargins left="0.23622047244094491" right="0.23622047244094491" top="0.39370078740157483" bottom="0.19685039370078741" header="0" footer="0"/>
  <pageSetup paperSize="9" scale="90" orientation="portrait" r:id="rId1"/>
  <rowBreaks count="3" manualBreakCount="3">
    <brk id="128" min="1" max="62" man="1"/>
    <brk id="193" min="1" max="61" man="1"/>
    <brk id="245" max="16383" man="1"/>
  </rowBreaks>
  <colBreaks count="4" manualBreakCount="4">
    <brk id="8" max="269" man="1"/>
    <brk id="19" max="1048575" man="1"/>
    <brk id="27" min="1" max="239" man="1"/>
    <brk id="82"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Drop Down 4">
              <controlPr defaultSize="0" autoLine="0" autoPict="0">
                <anchor moveWithCells="1">
                  <from>
                    <xdr:col>8</xdr:col>
                    <xdr:colOff>38100</xdr:colOff>
                    <xdr:row>7</xdr:row>
                    <xdr:rowOff>190500</xdr:rowOff>
                  </from>
                  <to>
                    <xdr:col>10</xdr:col>
                    <xdr:colOff>1085850</xdr:colOff>
                    <xdr:row>8</xdr:row>
                    <xdr:rowOff>247650</xdr:rowOff>
                  </to>
                </anchor>
              </controlPr>
            </control>
          </mc:Choice>
        </mc:AlternateContent>
        <mc:AlternateContent xmlns:mc="http://schemas.openxmlformats.org/markup-compatibility/2006">
          <mc:Choice Requires="x14">
            <control shapeId="1029" r:id="rId5" name="Drop Down 5">
              <controlPr defaultSize="0" autoLine="0" autoPict="0">
                <anchor moveWithCells="1">
                  <from>
                    <xdr:col>8</xdr:col>
                    <xdr:colOff>38100</xdr:colOff>
                    <xdr:row>11</xdr:row>
                    <xdr:rowOff>9525</xdr:rowOff>
                  </from>
                  <to>
                    <xdr:col>10</xdr:col>
                    <xdr:colOff>1085850</xdr:colOff>
                    <xdr:row>12</xdr:row>
                    <xdr:rowOff>0</xdr:rowOff>
                  </to>
                </anchor>
              </controlPr>
            </control>
          </mc:Choice>
        </mc:AlternateContent>
        <mc:AlternateContent xmlns:mc="http://schemas.openxmlformats.org/markup-compatibility/2006">
          <mc:Choice Requires="x14">
            <control shapeId="1030" r:id="rId6" name="Drop Down 6">
              <controlPr defaultSize="0" autoLine="0" autoPict="0">
                <anchor moveWithCells="1">
                  <from>
                    <xdr:col>8</xdr:col>
                    <xdr:colOff>38100</xdr:colOff>
                    <xdr:row>14</xdr:row>
                    <xdr:rowOff>9525</xdr:rowOff>
                  </from>
                  <to>
                    <xdr:col>10</xdr:col>
                    <xdr:colOff>1085850</xdr:colOff>
                    <xdr:row>15</xdr:row>
                    <xdr:rowOff>66675</xdr:rowOff>
                  </to>
                </anchor>
              </controlPr>
            </control>
          </mc:Choice>
        </mc:AlternateContent>
        <mc:AlternateContent xmlns:mc="http://schemas.openxmlformats.org/markup-compatibility/2006">
          <mc:Choice Requires="x14">
            <control shapeId="1046" r:id="rId7" name="Group Box 22">
              <controlPr defaultSize="0" autoFill="0" autoPict="0">
                <anchor moveWithCells="1">
                  <from>
                    <xdr:col>12</xdr:col>
                    <xdr:colOff>190500</xdr:colOff>
                    <xdr:row>81</xdr:row>
                    <xdr:rowOff>190500</xdr:rowOff>
                  </from>
                  <to>
                    <xdr:col>13</xdr:col>
                    <xdr:colOff>828675</xdr:colOff>
                    <xdr:row>88</xdr:row>
                    <xdr:rowOff>9525</xdr:rowOff>
                  </to>
                </anchor>
              </controlPr>
            </control>
          </mc:Choice>
        </mc:AlternateContent>
        <mc:AlternateContent xmlns:mc="http://schemas.openxmlformats.org/markup-compatibility/2006">
          <mc:Choice Requires="x14">
            <control shapeId="1047" r:id="rId8" name="Group Box 23">
              <controlPr defaultSize="0" autoFill="0" autoPict="0">
                <anchor moveWithCells="1">
                  <from>
                    <xdr:col>12</xdr:col>
                    <xdr:colOff>190500</xdr:colOff>
                    <xdr:row>89</xdr:row>
                    <xdr:rowOff>9525</xdr:rowOff>
                  </from>
                  <to>
                    <xdr:col>13</xdr:col>
                    <xdr:colOff>838200</xdr:colOff>
                    <xdr:row>95</xdr:row>
                    <xdr:rowOff>19050</xdr:rowOff>
                  </to>
                </anchor>
              </controlPr>
            </control>
          </mc:Choice>
        </mc:AlternateContent>
        <mc:AlternateContent xmlns:mc="http://schemas.openxmlformats.org/markup-compatibility/2006">
          <mc:Choice Requires="x14">
            <control shapeId="1048" r:id="rId9" name="Group Box 24">
              <controlPr defaultSize="0" autoFill="0" autoPict="0">
                <anchor moveWithCells="1">
                  <from>
                    <xdr:col>12</xdr:col>
                    <xdr:colOff>190500</xdr:colOff>
                    <xdr:row>96</xdr:row>
                    <xdr:rowOff>0</xdr:rowOff>
                  </from>
                  <to>
                    <xdr:col>13</xdr:col>
                    <xdr:colOff>838200</xdr:colOff>
                    <xdr:row>102</xdr:row>
                    <xdr:rowOff>9525</xdr:rowOff>
                  </to>
                </anchor>
              </controlPr>
            </control>
          </mc:Choice>
        </mc:AlternateContent>
        <mc:AlternateContent xmlns:mc="http://schemas.openxmlformats.org/markup-compatibility/2006">
          <mc:Choice Requires="x14">
            <control shapeId="1049" r:id="rId10" name="Group Box 25">
              <controlPr defaultSize="0" autoFill="0" autoPict="0">
                <anchor moveWithCells="1">
                  <from>
                    <xdr:col>12</xdr:col>
                    <xdr:colOff>190500</xdr:colOff>
                    <xdr:row>103</xdr:row>
                    <xdr:rowOff>0</xdr:rowOff>
                  </from>
                  <to>
                    <xdr:col>13</xdr:col>
                    <xdr:colOff>828675</xdr:colOff>
                    <xdr:row>109</xdr:row>
                    <xdr:rowOff>0</xdr:rowOff>
                  </to>
                </anchor>
              </controlPr>
            </control>
          </mc:Choice>
        </mc:AlternateContent>
        <mc:AlternateContent xmlns:mc="http://schemas.openxmlformats.org/markup-compatibility/2006">
          <mc:Choice Requires="x14">
            <control shapeId="1050" r:id="rId11" name="Group Box 26">
              <controlPr defaultSize="0" autoFill="0" autoPict="0">
                <anchor moveWithCells="1">
                  <from>
                    <xdr:col>12</xdr:col>
                    <xdr:colOff>200025</xdr:colOff>
                    <xdr:row>110</xdr:row>
                    <xdr:rowOff>0</xdr:rowOff>
                  </from>
                  <to>
                    <xdr:col>13</xdr:col>
                    <xdr:colOff>828675</xdr:colOff>
                    <xdr:row>116</xdr:row>
                    <xdr:rowOff>9525</xdr:rowOff>
                  </to>
                </anchor>
              </controlPr>
            </control>
          </mc:Choice>
        </mc:AlternateContent>
        <mc:AlternateContent xmlns:mc="http://schemas.openxmlformats.org/markup-compatibility/2006">
          <mc:Choice Requires="x14">
            <control shapeId="1051" r:id="rId12" name="Group Box 27">
              <controlPr defaultSize="0" autoFill="0" autoPict="0">
                <anchor moveWithCells="1">
                  <from>
                    <xdr:col>12</xdr:col>
                    <xdr:colOff>190500</xdr:colOff>
                    <xdr:row>117</xdr:row>
                    <xdr:rowOff>0</xdr:rowOff>
                  </from>
                  <to>
                    <xdr:col>13</xdr:col>
                    <xdr:colOff>838200</xdr:colOff>
                    <xdr:row>123</xdr:row>
                    <xdr:rowOff>9525</xdr:rowOff>
                  </to>
                </anchor>
              </controlPr>
            </control>
          </mc:Choice>
        </mc:AlternateContent>
        <mc:AlternateContent xmlns:mc="http://schemas.openxmlformats.org/markup-compatibility/2006">
          <mc:Choice Requires="x14">
            <control shapeId="1052" r:id="rId13" name="Group Box 28">
              <controlPr defaultSize="0" autoFill="0" autoPict="0">
                <anchor moveWithCells="1">
                  <from>
                    <xdr:col>12</xdr:col>
                    <xdr:colOff>200025</xdr:colOff>
                    <xdr:row>123</xdr:row>
                    <xdr:rowOff>180975</xdr:rowOff>
                  </from>
                  <to>
                    <xdr:col>13</xdr:col>
                    <xdr:colOff>819150</xdr:colOff>
                    <xdr:row>130</xdr:row>
                    <xdr:rowOff>19050</xdr:rowOff>
                  </to>
                </anchor>
              </controlPr>
            </control>
          </mc:Choice>
        </mc:AlternateContent>
        <mc:AlternateContent xmlns:mc="http://schemas.openxmlformats.org/markup-compatibility/2006">
          <mc:Choice Requires="x14">
            <control shapeId="1053" r:id="rId14" name="Group Box 29">
              <controlPr defaultSize="0" autoFill="0" autoPict="0">
                <anchor moveWithCells="1">
                  <from>
                    <xdr:col>12</xdr:col>
                    <xdr:colOff>190500</xdr:colOff>
                    <xdr:row>130</xdr:row>
                    <xdr:rowOff>190500</xdr:rowOff>
                  </from>
                  <to>
                    <xdr:col>13</xdr:col>
                    <xdr:colOff>819150</xdr:colOff>
                    <xdr:row>137</xdr:row>
                    <xdr:rowOff>0</xdr:rowOff>
                  </to>
                </anchor>
              </controlPr>
            </control>
          </mc:Choice>
        </mc:AlternateContent>
        <mc:AlternateContent xmlns:mc="http://schemas.openxmlformats.org/markup-compatibility/2006">
          <mc:Choice Requires="x14">
            <control shapeId="1054" r:id="rId15" name="Group Box 30">
              <controlPr defaultSize="0" autoFill="0" autoPict="0">
                <anchor moveWithCells="1">
                  <from>
                    <xdr:col>12</xdr:col>
                    <xdr:colOff>200025</xdr:colOff>
                    <xdr:row>137</xdr:row>
                    <xdr:rowOff>190500</xdr:rowOff>
                  </from>
                  <to>
                    <xdr:col>13</xdr:col>
                    <xdr:colOff>809625</xdr:colOff>
                    <xdr:row>144</xdr:row>
                    <xdr:rowOff>0</xdr:rowOff>
                  </to>
                </anchor>
              </controlPr>
            </control>
          </mc:Choice>
        </mc:AlternateContent>
        <mc:AlternateContent xmlns:mc="http://schemas.openxmlformats.org/markup-compatibility/2006">
          <mc:Choice Requires="x14">
            <control shapeId="1056" r:id="rId16" name="Option Button 32">
              <controlPr defaultSize="0" autoFill="0" autoLine="0" autoPict="0">
                <anchor moveWithCells="1">
                  <from>
                    <xdr:col>12</xdr:col>
                    <xdr:colOff>295275</xdr:colOff>
                    <xdr:row>84</xdr:row>
                    <xdr:rowOff>28575</xdr:rowOff>
                  </from>
                  <to>
                    <xdr:col>12</xdr:col>
                    <xdr:colOff>704850</xdr:colOff>
                    <xdr:row>85</xdr:row>
                    <xdr:rowOff>152400</xdr:rowOff>
                  </to>
                </anchor>
              </controlPr>
            </control>
          </mc:Choice>
        </mc:AlternateContent>
        <mc:AlternateContent xmlns:mc="http://schemas.openxmlformats.org/markup-compatibility/2006">
          <mc:Choice Requires="x14">
            <control shapeId="1057" r:id="rId17" name="Option Button 33">
              <controlPr defaultSize="0" autoFill="0" autoLine="0" autoPict="0">
                <anchor moveWithCells="1">
                  <from>
                    <xdr:col>13</xdr:col>
                    <xdr:colOff>266700</xdr:colOff>
                    <xdr:row>84</xdr:row>
                    <xdr:rowOff>28575</xdr:rowOff>
                  </from>
                  <to>
                    <xdr:col>13</xdr:col>
                    <xdr:colOff>695325</xdr:colOff>
                    <xdr:row>85</xdr:row>
                    <xdr:rowOff>152400</xdr:rowOff>
                  </to>
                </anchor>
              </controlPr>
            </control>
          </mc:Choice>
        </mc:AlternateContent>
        <mc:AlternateContent xmlns:mc="http://schemas.openxmlformats.org/markup-compatibility/2006">
          <mc:Choice Requires="x14">
            <control shapeId="1059" r:id="rId18" name="Option Button 35">
              <controlPr defaultSize="0" autoFill="0" autoLine="0" autoPict="0">
                <anchor moveWithCells="1">
                  <from>
                    <xdr:col>12</xdr:col>
                    <xdr:colOff>295275</xdr:colOff>
                    <xdr:row>91</xdr:row>
                    <xdr:rowOff>28575</xdr:rowOff>
                  </from>
                  <to>
                    <xdr:col>12</xdr:col>
                    <xdr:colOff>704850</xdr:colOff>
                    <xdr:row>92</xdr:row>
                    <xdr:rowOff>152400</xdr:rowOff>
                  </to>
                </anchor>
              </controlPr>
            </control>
          </mc:Choice>
        </mc:AlternateContent>
        <mc:AlternateContent xmlns:mc="http://schemas.openxmlformats.org/markup-compatibility/2006">
          <mc:Choice Requires="x14">
            <control shapeId="1060" r:id="rId19" name="Option Button 36">
              <controlPr defaultSize="0" autoFill="0" autoLine="0" autoPict="0">
                <anchor moveWithCells="1">
                  <from>
                    <xdr:col>13</xdr:col>
                    <xdr:colOff>257175</xdr:colOff>
                    <xdr:row>91</xdr:row>
                    <xdr:rowOff>28575</xdr:rowOff>
                  </from>
                  <to>
                    <xdr:col>13</xdr:col>
                    <xdr:colOff>685800</xdr:colOff>
                    <xdr:row>92</xdr:row>
                    <xdr:rowOff>152400</xdr:rowOff>
                  </to>
                </anchor>
              </controlPr>
            </control>
          </mc:Choice>
        </mc:AlternateContent>
        <mc:AlternateContent xmlns:mc="http://schemas.openxmlformats.org/markup-compatibility/2006">
          <mc:Choice Requires="x14">
            <control shapeId="1064" r:id="rId20" name="Option Button 40">
              <controlPr defaultSize="0" autoFill="0" autoLine="0" autoPict="0">
                <anchor moveWithCells="1">
                  <from>
                    <xdr:col>12</xdr:col>
                    <xdr:colOff>295275</xdr:colOff>
                    <xdr:row>98</xdr:row>
                    <xdr:rowOff>28575</xdr:rowOff>
                  </from>
                  <to>
                    <xdr:col>12</xdr:col>
                    <xdr:colOff>704850</xdr:colOff>
                    <xdr:row>99</xdr:row>
                    <xdr:rowOff>142875</xdr:rowOff>
                  </to>
                </anchor>
              </controlPr>
            </control>
          </mc:Choice>
        </mc:AlternateContent>
        <mc:AlternateContent xmlns:mc="http://schemas.openxmlformats.org/markup-compatibility/2006">
          <mc:Choice Requires="x14">
            <control shapeId="1065" r:id="rId21" name="Option Button 41">
              <controlPr defaultSize="0" autoFill="0" autoLine="0" autoPict="0">
                <anchor moveWithCells="1">
                  <from>
                    <xdr:col>13</xdr:col>
                    <xdr:colOff>257175</xdr:colOff>
                    <xdr:row>98</xdr:row>
                    <xdr:rowOff>38100</xdr:rowOff>
                  </from>
                  <to>
                    <xdr:col>13</xdr:col>
                    <xdr:colOff>685800</xdr:colOff>
                    <xdr:row>99</xdr:row>
                    <xdr:rowOff>152400</xdr:rowOff>
                  </to>
                </anchor>
              </controlPr>
            </control>
          </mc:Choice>
        </mc:AlternateContent>
        <mc:AlternateContent xmlns:mc="http://schemas.openxmlformats.org/markup-compatibility/2006">
          <mc:Choice Requires="x14">
            <control shapeId="1067" r:id="rId22" name="Option Button 43">
              <controlPr defaultSize="0" autoFill="0" autoLine="0" autoPict="0">
                <anchor moveWithCells="1">
                  <from>
                    <xdr:col>12</xdr:col>
                    <xdr:colOff>295275</xdr:colOff>
                    <xdr:row>105</xdr:row>
                    <xdr:rowOff>38100</xdr:rowOff>
                  </from>
                  <to>
                    <xdr:col>12</xdr:col>
                    <xdr:colOff>723900</xdr:colOff>
                    <xdr:row>106</xdr:row>
                    <xdr:rowOff>152400</xdr:rowOff>
                  </to>
                </anchor>
              </controlPr>
            </control>
          </mc:Choice>
        </mc:AlternateContent>
        <mc:AlternateContent xmlns:mc="http://schemas.openxmlformats.org/markup-compatibility/2006">
          <mc:Choice Requires="x14">
            <control shapeId="1068" r:id="rId23" name="Option Button 44">
              <controlPr defaultSize="0" autoFill="0" autoLine="0" autoPict="0">
                <anchor moveWithCells="1">
                  <from>
                    <xdr:col>12</xdr:col>
                    <xdr:colOff>295275</xdr:colOff>
                    <xdr:row>112</xdr:row>
                    <xdr:rowOff>38100</xdr:rowOff>
                  </from>
                  <to>
                    <xdr:col>12</xdr:col>
                    <xdr:colOff>704850</xdr:colOff>
                    <xdr:row>113</xdr:row>
                    <xdr:rowOff>152400</xdr:rowOff>
                  </to>
                </anchor>
              </controlPr>
            </control>
          </mc:Choice>
        </mc:AlternateContent>
        <mc:AlternateContent xmlns:mc="http://schemas.openxmlformats.org/markup-compatibility/2006">
          <mc:Choice Requires="x14">
            <control shapeId="1069" r:id="rId24" name="Option Button 45">
              <controlPr defaultSize="0" autoFill="0" autoLine="0" autoPict="0">
                <anchor moveWithCells="1">
                  <from>
                    <xdr:col>13</xdr:col>
                    <xdr:colOff>266700</xdr:colOff>
                    <xdr:row>112</xdr:row>
                    <xdr:rowOff>38100</xdr:rowOff>
                  </from>
                  <to>
                    <xdr:col>13</xdr:col>
                    <xdr:colOff>695325</xdr:colOff>
                    <xdr:row>113</xdr:row>
                    <xdr:rowOff>152400</xdr:rowOff>
                  </to>
                </anchor>
              </controlPr>
            </control>
          </mc:Choice>
        </mc:AlternateContent>
        <mc:AlternateContent xmlns:mc="http://schemas.openxmlformats.org/markup-compatibility/2006">
          <mc:Choice Requires="x14">
            <control shapeId="1070" r:id="rId25" name="Option Button 46">
              <controlPr defaultSize="0" autoFill="0" autoLine="0" autoPict="0">
                <anchor moveWithCells="1">
                  <from>
                    <xdr:col>12</xdr:col>
                    <xdr:colOff>295275</xdr:colOff>
                    <xdr:row>118</xdr:row>
                    <xdr:rowOff>142875</xdr:rowOff>
                  </from>
                  <to>
                    <xdr:col>12</xdr:col>
                    <xdr:colOff>657225</xdr:colOff>
                    <xdr:row>120</xdr:row>
                    <xdr:rowOff>57150</xdr:rowOff>
                  </to>
                </anchor>
              </controlPr>
            </control>
          </mc:Choice>
        </mc:AlternateContent>
        <mc:AlternateContent xmlns:mc="http://schemas.openxmlformats.org/markup-compatibility/2006">
          <mc:Choice Requires="x14">
            <control shapeId="1071" r:id="rId26" name="Option Button 47">
              <controlPr defaultSize="0" autoFill="0" autoLine="0" autoPict="0">
                <anchor moveWithCells="1">
                  <from>
                    <xdr:col>13</xdr:col>
                    <xdr:colOff>257175</xdr:colOff>
                    <xdr:row>118</xdr:row>
                    <xdr:rowOff>133350</xdr:rowOff>
                  </from>
                  <to>
                    <xdr:col>13</xdr:col>
                    <xdr:colOff>685800</xdr:colOff>
                    <xdr:row>120</xdr:row>
                    <xdr:rowOff>47625</xdr:rowOff>
                  </to>
                </anchor>
              </controlPr>
            </control>
          </mc:Choice>
        </mc:AlternateContent>
        <mc:AlternateContent xmlns:mc="http://schemas.openxmlformats.org/markup-compatibility/2006">
          <mc:Choice Requires="x14">
            <control shapeId="1072" r:id="rId27" name="Option Button 48">
              <controlPr defaultSize="0" autoFill="0" autoLine="0" autoPict="0">
                <anchor moveWithCells="1">
                  <from>
                    <xdr:col>12</xdr:col>
                    <xdr:colOff>295275</xdr:colOff>
                    <xdr:row>126</xdr:row>
                    <xdr:rowOff>38100</xdr:rowOff>
                  </from>
                  <to>
                    <xdr:col>12</xdr:col>
                    <xdr:colOff>704850</xdr:colOff>
                    <xdr:row>127</xdr:row>
                    <xdr:rowOff>152400</xdr:rowOff>
                  </to>
                </anchor>
              </controlPr>
            </control>
          </mc:Choice>
        </mc:AlternateContent>
        <mc:AlternateContent xmlns:mc="http://schemas.openxmlformats.org/markup-compatibility/2006">
          <mc:Choice Requires="x14">
            <control shapeId="1073" r:id="rId28" name="Option Button 49">
              <controlPr defaultSize="0" autoFill="0" autoLine="0" autoPict="0">
                <anchor moveWithCells="1">
                  <from>
                    <xdr:col>13</xdr:col>
                    <xdr:colOff>257175</xdr:colOff>
                    <xdr:row>126</xdr:row>
                    <xdr:rowOff>28575</xdr:rowOff>
                  </from>
                  <to>
                    <xdr:col>13</xdr:col>
                    <xdr:colOff>685800</xdr:colOff>
                    <xdr:row>127</xdr:row>
                    <xdr:rowOff>142875</xdr:rowOff>
                  </to>
                </anchor>
              </controlPr>
            </control>
          </mc:Choice>
        </mc:AlternateContent>
        <mc:AlternateContent xmlns:mc="http://schemas.openxmlformats.org/markup-compatibility/2006">
          <mc:Choice Requires="x14">
            <control shapeId="1074" r:id="rId29" name="Option Button 50">
              <controlPr defaultSize="0" autoFill="0" autoLine="0" autoPict="0">
                <anchor moveWithCells="1">
                  <from>
                    <xdr:col>12</xdr:col>
                    <xdr:colOff>295275</xdr:colOff>
                    <xdr:row>133</xdr:row>
                    <xdr:rowOff>28575</xdr:rowOff>
                  </from>
                  <to>
                    <xdr:col>12</xdr:col>
                    <xdr:colOff>704850</xdr:colOff>
                    <xdr:row>134</xdr:row>
                    <xdr:rowOff>142875</xdr:rowOff>
                  </to>
                </anchor>
              </controlPr>
            </control>
          </mc:Choice>
        </mc:AlternateContent>
        <mc:AlternateContent xmlns:mc="http://schemas.openxmlformats.org/markup-compatibility/2006">
          <mc:Choice Requires="x14">
            <control shapeId="1075" r:id="rId30" name="Option Button 51">
              <controlPr defaultSize="0" autoFill="0" autoLine="0" autoPict="0">
                <anchor moveWithCells="1">
                  <from>
                    <xdr:col>13</xdr:col>
                    <xdr:colOff>257175</xdr:colOff>
                    <xdr:row>133</xdr:row>
                    <xdr:rowOff>28575</xdr:rowOff>
                  </from>
                  <to>
                    <xdr:col>13</xdr:col>
                    <xdr:colOff>685800</xdr:colOff>
                    <xdr:row>134</xdr:row>
                    <xdr:rowOff>142875</xdr:rowOff>
                  </to>
                </anchor>
              </controlPr>
            </control>
          </mc:Choice>
        </mc:AlternateContent>
        <mc:AlternateContent xmlns:mc="http://schemas.openxmlformats.org/markup-compatibility/2006">
          <mc:Choice Requires="x14">
            <control shapeId="1076" r:id="rId31" name="Option Button 52">
              <controlPr defaultSize="0" autoFill="0" autoLine="0" autoPict="0">
                <anchor moveWithCells="1">
                  <from>
                    <xdr:col>12</xdr:col>
                    <xdr:colOff>295275</xdr:colOff>
                    <xdr:row>140</xdr:row>
                    <xdr:rowOff>28575</xdr:rowOff>
                  </from>
                  <to>
                    <xdr:col>12</xdr:col>
                    <xdr:colOff>704850</xdr:colOff>
                    <xdr:row>141</xdr:row>
                    <xdr:rowOff>152400</xdr:rowOff>
                  </to>
                </anchor>
              </controlPr>
            </control>
          </mc:Choice>
        </mc:AlternateContent>
        <mc:AlternateContent xmlns:mc="http://schemas.openxmlformats.org/markup-compatibility/2006">
          <mc:Choice Requires="x14">
            <control shapeId="1077" r:id="rId32" name="Option Button 53">
              <controlPr defaultSize="0" autoFill="0" autoLine="0" autoPict="0">
                <anchor moveWithCells="1">
                  <from>
                    <xdr:col>13</xdr:col>
                    <xdr:colOff>257175</xdr:colOff>
                    <xdr:row>140</xdr:row>
                    <xdr:rowOff>28575</xdr:rowOff>
                  </from>
                  <to>
                    <xdr:col>13</xdr:col>
                    <xdr:colOff>685800</xdr:colOff>
                    <xdr:row>141</xdr:row>
                    <xdr:rowOff>152400</xdr:rowOff>
                  </to>
                </anchor>
              </controlPr>
            </control>
          </mc:Choice>
        </mc:AlternateContent>
        <mc:AlternateContent xmlns:mc="http://schemas.openxmlformats.org/markup-compatibility/2006">
          <mc:Choice Requires="x14">
            <control shapeId="1101" r:id="rId33" name="Group Box 77">
              <controlPr defaultSize="0" autoFill="0" autoPict="0">
                <anchor moveWithCells="1">
                  <from>
                    <xdr:col>12</xdr:col>
                    <xdr:colOff>200025</xdr:colOff>
                    <xdr:row>144</xdr:row>
                    <xdr:rowOff>200025</xdr:rowOff>
                  </from>
                  <to>
                    <xdr:col>13</xdr:col>
                    <xdr:colOff>809625</xdr:colOff>
                    <xdr:row>151</xdr:row>
                    <xdr:rowOff>28575</xdr:rowOff>
                  </to>
                </anchor>
              </controlPr>
            </control>
          </mc:Choice>
        </mc:AlternateContent>
        <mc:AlternateContent xmlns:mc="http://schemas.openxmlformats.org/markup-compatibility/2006">
          <mc:Choice Requires="x14">
            <control shapeId="1102" r:id="rId34" name="Option Button 78">
              <controlPr defaultSize="0" autoFill="0" autoLine="0" autoPict="0">
                <anchor moveWithCells="1">
                  <from>
                    <xdr:col>12</xdr:col>
                    <xdr:colOff>304800</xdr:colOff>
                    <xdr:row>147</xdr:row>
                    <xdr:rowOff>19050</xdr:rowOff>
                  </from>
                  <to>
                    <xdr:col>12</xdr:col>
                    <xdr:colOff>714375</xdr:colOff>
                    <xdr:row>148</xdr:row>
                    <xdr:rowOff>142875</xdr:rowOff>
                  </to>
                </anchor>
              </controlPr>
            </control>
          </mc:Choice>
        </mc:AlternateContent>
        <mc:AlternateContent xmlns:mc="http://schemas.openxmlformats.org/markup-compatibility/2006">
          <mc:Choice Requires="x14">
            <control shapeId="1103" r:id="rId35" name="Option Button 79">
              <controlPr defaultSize="0" autoFill="0" autoLine="0" autoPict="0">
                <anchor moveWithCells="1">
                  <from>
                    <xdr:col>13</xdr:col>
                    <xdr:colOff>257175</xdr:colOff>
                    <xdr:row>147</xdr:row>
                    <xdr:rowOff>19050</xdr:rowOff>
                  </from>
                  <to>
                    <xdr:col>13</xdr:col>
                    <xdr:colOff>685800</xdr:colOff>
                    <xdr:row>148</xdr:row>
                    <xdr:rowOff>142875</xdr:rowOff>
                  </to>
                </anchor>
              </controlPr>
            </control>
          </mc:Choice>
        </mc:AlternateContent>
        <mc:AlternateContent xmlns:mc="http://schemas.openxmlformats.org/markup-compatibility/2006">
          <mc:Choice Requires="x14">
            <control shapeId="1115" r:id="rId36" name="Option Button 91">
              <controlPr defaultSize="0" autoFill="0" autoLine="0" autoPict="0">
                <anchor moveWithCells="1">
                  <from>
                    <xdr:col>12</xdr:col>
                    <xdr:colOff>295275</xdr:colOff>
                    <xdr:row>120</xdr:row>
                    <xdr:rowOff>133350</xdr:rowOff>
                  </from>
                  <to>
                    <xdr:col>12</xdr:col>
                    <xdr:colOff>695325</xdr:colOff>
                    <xdr:row>122</xdr:row>
                    <xdr:rowOff>47625</xdr:rowOff>
                  </to>
                </anchor>
              </controlPr>
            </control>
          </mc:Choice>
        </mc:AlternateContent>
        <mc:AlternateContent xmlns:mc="http://schemas.openxmlformats.org/markup-compatibility/2006">
          <mc:Choice Requires="x14">
            <control shapeId="1116" r:id="rId37" name="Drop Down 92">
              <controlPr defaultSize="0" autoLine="0" autoPict="0">
                <anchor moveWithCells="1">
                  <from>
                    <xdr:col>8</xdr:col>
                    <xdr:colOff>28575</xdr:colOff>
                    <xdr:row>5</xdr:row>
                    <xdr:rowOff>9525</xdr:rowOff>
                  </from>
                  <to>
                    <xdr:col>10</xdr:col>
                    <xdr:colOff>1076325</xdr:colOff>
                    <xdr:row>6</xdr:row>
                    <xdr:rowOff>9525</xdr:rowOff>
                  </to>
                </anchor>
              </controlPr>
            </control>
          </mc:Choice>
        </mc:AlternateContent>
        <mc:AlternateContent xmlns:mc="http://schemas.openxmlformats.org/markup-compatibility/2006">
          <mc:Choice Requires="x14">
            <control shapeId="1230" r:id="rId38" name="Option Button 206">
              <controlPr defaultSize="0" autoFill="0" autoLine="0" autoPict="0">
                <anchor moveWithCells="1">
                  <from>
                    <xdr:col>13</xdr:col>
                    <xdr:colOff>247650</xdr:colOff>
                    <xdr:row>105</xdr:row>
                    <xdr:rowOff>38100</xdr:rowOff>
                  </from>
                  <to>
                    <xdr:col>13</xdr:col>
                    <xdr:colOff>657225</xdr:colOff>
                    <xdr:row>106</xdr:row>
                    <xdr:rowOff>152400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1</vt:i4>
      </vt:variant>
      <vt:variant>
        <vt:lpstr>Navngitte områder</vt:lpstr>
      </vt:variant>
      <vt:variant>
        <vt:i4>6</vt:i4>
      </vt:variant>
    </vt:vector>
  </HeadingPairs>
  <TitlesOfParts>
    <vt:vector size="7" baseType="lpstr">
      <vt:lpstr>Ark1</vt:lpstr>
      <vt:lpstr>'Ark1'!_ftn3</vt:lpstr>
      <vt:lpstr>'Ark1'!_ftn5</vt:lpstr>
      <vt:lpstr>'Ark1'!_ftnref1</vt:lpstr>
      <vt:lpstr>'Ark1'!_ftnref3</vt:lpstr>
      <vt:lpstr>'Ark1'!_ftnref5</vt:lpstr>
      <vt:lpstr>'Ark1'!Utskriftsområde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Arne Hammerstad</dc:creator>
  <cp:lastModifiedBy>Martyna Sojka</cp:lastModifiedBy>
  <cp:lastPrinted>2017-04-03T13:49:32Z</cp:lastPrinted>
  <dcterms:created xsi:type="dcterms:W3CDTF">2013-08-23T13:16:49Z</dcterms:created>
  <dcterms:modified xsi:type="dcterms:W3CDTF">2023-03-13T06:38:24Z</dcterms:modified>
</cp:coreProperties>
</file>