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https://norskbyggtjeneste-my.sharepoint.com/personal/mso_byggtjeneste_no/Documents/MSO/"/>
    </mc:Choice>
  </mc:AlternateContent>
  <xr:revisionPtr revIDLastSave="0" documentId="8_{E6ECFE0B-7504-493B-8AE7-A3498F2B6A2B}" xr6:coauthVersionLast="47" xr6:coauthVersionMax="47" xr10:uidLastSave="{00000000-0000-0000-0000-000000000000}"/>
  <bookViews>
    <workbookView showSheetTabs="0" xWindow="-108" yWindow="-108" windowWidth="23256" windowHeight="12456" xr2:uid="{00000000-000D-0000-FFFF-FFFF00000000}"/>
  </bookViews>
  <sheets>
    <sheet name="Ark1" sheetId="1" r:id="rId1"/>
  </sheets>
  <definedNames>
    <definedName name="_ftn1" localSheetId="0">'Ark1'!#REF!</definedName>
    <definedName name="_ftn2" localSheetId="0">'Ark1'!#REF!</definedName>
    <definedName name="_ftn3" localSheetId="0">'Ark1'!$BJ$172</definedName>
    <definedName name="_ftn4" localSheetId="0">'Ark1'!#REF!</definedName>
    <definedName name="_ftn5" localSheetId="0">'Ark1'!$BJ$174</definedName>
    <definedName name="_ftnref1" localSheetId="0">'Ark1'!$X$86</definedName>
    <definedName name="_ftnref3" localSheetId="0">'Ark1'!$E$98</definedName>
    <definedName name="_ftnref5" localSheetId="0">'Ark1'!$Z$85</definedName>
    <definedName name="_xlnm.Print_Area" localSheetId="0">'Ark1'!$BH$172:$BQ$227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 l="1"/>
  <c r="C2" i="1"/>
  <c r="C70" i="1" l="1"/>
  <c r="Z157" i="1"/>
  <c r="Z158" i="1"/>
  <c r="Z159" i="1"/>
  <c r="Z160" i="1"/>
  <c r="Z161" i="1"/>
  <c r="Z162" i="1"/>
  <c r="Z163" i="1"/>
  <c r="Z164" i="1"/>
  <c r="Z165" i="1"/>
  <c r="Z156" i="1"/>
  <c r="AJ166" i="1" s="1"/>
  <c r="V107" i="1"/>
  <c r="U107" i="1"/>
  <c r="L79" i="1" l="1"/>
  <c r="Z80" i="1" l="1"/>
  <c r="W80" i="1"/>
  <c r="C131" i="1"/>
  <c r="BH186" i="1"/>
  <c r="Z69" i="1"/>
  <c r="W69" i="1"/>
  <c r="R69" i="1"/>
  <c r="S69" i="1"/>
  <c r="Q68" i="1"/>
  <c r="P69" i="1"/>
  <c r="P67" i="1"/>
  <c r="P68" i="1"/>
  <c r="P53" i="1"/>
  <c r="P52" i="1"/>
  <c r="BC69" i="1" l="1"/>
  <c r="AU80" i="1"/>
  <c r="AT80" i="1"/>
  <c r="AO80" i="1"/>
  <c r="AU69" i="1"/>
  <c r="AT69" i="1"/>
  <c r="AO69" i="1"/>
  <c r="AQ69" i="1"/>
  <c r="Y80" i="1"/>
  <c r="Y69" i="1"/>
  <c r="AQ80" i="1"/>
  <c r="AR69" i="1"/>
  <c r="AR80" i="1"/>
  <c r="AD68" i="1"/>
  <c r="AK80" i="1"/>
  <c r="AN80" i="1"/>
  <c r="V80" i="1"/>
  <c r="AI80" i="1"/>
  <c r="X80" i="1"/>
  <c r="AB69" i="1"/>
  <c r="AI69" i="1"/>
  <c r="AK69" i="1"/>
  <c r="AL80" i="1"/>
  <c r="Z79" i="1"/>
  <c r="AG79" i="1"/>
  <c r="AL69" i="1"/>
  <c r="AB80" i="1"/>
  <c r="AC80" i="1"/>
  <c r="U69" i="1"/>
  <c r="AC69" i="1"/>
  <c r="AN69" i="1"/>
  <c r="AE80" i="1"/>
  <c r="V69" i="1"/>
  <c r="AE69" i="1"/>
  <c r="U80" i="1"/>
  <c r="AF80" i="1"/>
  <c r="X69" i="1"/>
  <c r="AF69" i="1"/>
  <c r="AH80" i="1"/>
  <c r="AH69" i="1"/>
  <c r="W79" i="1"/>
  <c r="AJ79" i="1"/>
  <c r="AD79" i="1"/>
  <c r="AO68" i="1"/>
  <c r="S67" i="1" l="1"/>
  <c r="R67" i="1"/>
  <c r="Q66" i="1"/>
  <c r="AL77" i="1" l="1"/>
  <c r="AL66" i="1"/>
  <c r="AR77" i="1"/>
  <c r="AI77" i="1"/>
  <c r="AR66" i="1"/>
  <c r="AO66" i="1"/>
  <c r="R66" i="1"/>
  <c r="BH181" i="1" l="1"/>
  <c r="AN162" i="1" s="1"/>
  <c r="Y157" i="1"/>
  <c r="AM167" i="1" s="1"/>
  <c r="Y158" i="1"/>
  <c r="AN168" i="1" s="1"/>
  <c r="Y159" i="1"/>
  <c r="Y160" i="1"/>
  <c r="Y161" i="1"/>
  <c r="AM169" i="1" s="1"/>
  <c r="Y162" i="1"/>
  <c r="AM170" i="1" s="1"/>
  <c r="Y163" i="1"/>
  <c r="Y164" i="1"/>
  <c r="Y165" i="1"/>
  <c r="Y156" i="1"/>
  <c r="AN166" i="1" s="1"/>
  <c r="T156" i="1"/>
  <c r="U156" i="1"/>
  <c r="U157" i="1"/>
  <c r="U158" i="1"/>
  <c r="U159" i="1"/>
  <c r="U160" i="1"/>
  <c r="U161" i="1"/>
  <c r="U162" i="1"/>
  <c r="U163" i="1"/>
  <c r="U164" i="1"/>
  <c r="U165" i="1"/>
  <c r="T157" i="1"/>
  <c r="T158" i="1"/>
  <c r="T159" i="1"/>
  <c r="T160" i="1"/>
  <c r="T161" i="1"/>
  <c r="T162" i="1"/>
  <c r="T163" i="1"/>
  <c r="T164" i="1"/>
  <c r="T165" i="1"/>
  <c r="AM168" i="1" l="1"/>
  <c r="AM166" i="1"/>
  <c r="V156" i="1"/>
  <c r="W156" i="1" s="1"/>
  <c r="AN169" i="1"/>
  <c r="AN167" i="1"/>
  <c r="AN170" i="1"/>
  <c r="V157" i="1"/>
  <c r="W157" i="1" s="1"/>
  <c r="AV198" i="1"/>
  <c r="V158" i="1"/>
  <c r="W158" i="1" s="1"/>
  <c r="V159" i="1"/>
  <c r="W159" i="1" s="1"/>
  <c r="V160" i="1"/>
  <c r="W160" i="1" s="1"/>
  <c r="V161" i="1"/>
  <c r="W161" i="1" s="1"/>
  <c r="V162" i="1"/>
  <c r="W162" i="1" s="1"/>
  <c r="V163" i="1"/>
  <c r="W163" i="1" s="1"/>
  <c r="V164" i="1"/>
  <c r="W164" i="1" s="1"/>
  <c r="V165" i="1"/>
  <c r="W165" i="1" s="1"/>
  <c r="AJ167" i="1"/>
  <c r="AJ168" i="1"/>
  <c r="AJ169" i="1"/>
  <c r="AJ170" i="1"/>
  <c r="T169" i="1"/>
  <c r="R149" i="1"/>
  <c r="R150" i="1"/>
  <c r="R151" i="1"/>
  <c r="R152" i="1"/>
  <c r="R153" i="1"/>
  <c r="R154" i="1"/>
  <c r="R155" i="1"/>
  <c r="R156" i="1"/>
  <c r="R157" i="1"/>
  <c r="R148" i="1"/>
  <c r="AK162" i="1" l="1"/>
  <c r="AK163" i="1"/>
  <c r="AJ163" i="1"/>
  <c r="AL168" i="1"/>
  <c r="AJ162" i="1"/>
  <c r="AL169" i="1" l="1"/>
  <c r="AL167" i="1"/>
  <c r="AL170" i="1"/>
  <c r="AZ210" i="1"/>
  <c r="AL166" i="1"/>
  <c r="AZ205" i="1" l="1"/>
  <c r="AL163" i="1"/>
  <c r="AZ201" i="1" s="1"/>
  <c r="AZ203" i="1"/>
  <c r="AZ208" i="1" l="1"/>
  <c r="AZ212" i="1"/>
  <c r="X53" i="1" l="1"/>
  <c r="W52" i="1"/>
  <c r="W51" i="1"/>
  <c r="S49" i="1"/>
  <c r="C133" i="1"/>
  <c r="C132" i="1"/>
  <c r="AB185" i="1"/>
  <c r="AA184" i="1"/>
  <c r="AA183" i="1"/>
  <c r="AA182" i="1"/>
  <c r="BL226" i="1" l="1"/>
  <c r="BL225" i="1"/>
  <c r="BD198" i="1" l="1"/>
  <c r="AR198" i="1"/>
  <c r="BD201" i="1"/>
  <c r="AV201" i="1"/>
  <c r="AR201" i="1"/>
  <c r="BD203" i="1"/>
  <c r="AV203" i="1"/>
  <c r="AR203" i="1"/>
  <c r="BD205" i="1"/>
  <c r="AV205" i="1"/>
  <c r="AR205" i="1"/>
  <c r="BD208" i="1"/>
  <c r="AV208" i="1"/>
  <c r="AR208" i="1"/>
  <c r="AR210" i="1"/>
  <c r="AV210" i="1"/>
  <c r="BD210" i="1"/>
  <c r="AL162" i="1" l="1"/>
  <c r="AZ198" i="1" s="1"/>
  <c r="AV212" i="1"/>
  <c r="AR212" i="1"/>
  <c r="BD212" i="1"/>
  <c r="P51" i="1"/>
  <c r="P54" i="1"/>
  <c r="P57" i="1"/>
  <c r="P59" i="1"/>
  <c r="P66" i="1"/>
  <c r="P65" i="1"/>
  <c r="P64" i="1"/>
  <c r="P63" i="1"/>
  <c r="P62" i="1"/>
  <c r="P61" i="1"/>
  <c r="P60" i="1"/>
  <c r="P50" i="1"/>
  <c r="BH178" i="1" l="1"/>
  <c r="C79" i="1"/>
  <c r="BH188" i="1" s="1"/>
  <c r="BI219" i="1" l="1"/>
  <c r="AI191" i="1"/>
  <c r="AI190" i="1"/>
  <c r="AM162" i="1"/>
  <c r="AM163" i="1"/>
  <c r="AI163" i="1"/>
  <c r="AI162" i="1"/>
  <c r="J79" i="1" l="1"/>
  <c r="AP161" i="1"/>
  <c r="AO161" i="1"/>
  <c r="BH173" i="1"/>
  <c r="R68" i="1"/>
  <c r="R65" i="1"/>
  <c r="R64" i="1"/>
  <c r="R63" i="1"/>
  <c r="R62" i="1"/>
  <c r="R61" i="1"/>
  <c r="R60" i="1"/>
  <c r="S60" i="1"/>
  <c r="AL76" i="1" l="1"/>
  <c r="AL65" i="1"/>
  <c r="AK76" i="1"/>
  <c r="AK65" i="1"/>
  <c r="AN161" i="1"/>
  <c r="BC60" i="1"/>
  <c r="BH172" i="1" l="1"/>
  <c r="AN160" i="1" l="1"/>
  <c r="AN163" i="1" s="1"/>
  <c r="W49" i="1"/>
  <c r="W50" i="1"/>
  <c r="X47" i="1"/>
  <c r="C35" i="1" s="1"/>
  <c r="W46" i="1"/>
  <c r="W45" i="1"/>
  <c r="W44" i="1"/>
  <c r="U57" i="1"/>
  <c r="S68" i="1"/>
  <c r="BC67" i="1"/>
  <c r="S66" i="1"/>
  <c r="S65" i="1"/>
  <c r="S64" i="1"/>
  <c r="BC64" i="1" s="1"/>
  <c r="S63" i="1"/>
  <c r="S62" i="1"/>
  <c r="S61" i="1"/>
  <c r="BC61" i="1" s="1"/>
  <c r="T57" i="1"/>
  <c r="F146" i="1" s="1"/>
  <c r="Q60" i="1"/>
  <c r="S57" i="1"/>
  <c r="Q62" i="1"/>
  <c r="BA201" i="1" l="1"/>
  <c r="BB201" i="1" s="1"/>
  <c r="P121" i="1"/>
  <c r="AL73" i="1"/>
  <c r="AF71" i="1"/>
  <c r="AL71" i="1"/>
  <c r="AL60" i="1"/>
  <c r="AF79" i="1"/>
  <c r="BC68" i="1"/>
  <c r="P110" i="1" s="1"/>
  <c r="Y79" i="1"/>
  <c r="Y68" i="1"/>
  <c r="V66" i="1"/>
  <c r="V77" i="1"/>
  <c r="AC76" i="1"/>
  <c r="AC65" i="1"/>
  <c r="AN71" i="1"/>
  <c r="AO60" i="1"/>
  <c r="AN60" i="1"/>
  <c r="AF60" i="1"/>
  <c r="AO71" i="1"/>
  <c r="V62" i="1"/>
  <c r="BC62" i="1"/>
  <c r="AL79" i="1"/>
  <c r="AI79" i="1"/>
  <c r="V79" i="1"/>
  <c r="AC79" i="1"/>
  <c r="AC68" i="1"/>
  <c r="AL68" i="1"/>
  <c r="V68" i="1"/>
  <c r="AK79" i="1"/>
  <c r="U79" i="1"/>
  <c r="X79" i="1"/>
  <c r="AE68" i="1"/>
  <c r="AI68" i="1"/>
  <c r="AB79" i="1"/>
  <c r="AK68" i="1"/>
  <c r="U68" i="1"/>
  <c r="X68" i="1"/>
  <c r="AH79" i="1"/>
  <c r="AB68" i="1"/>
  <c r="AE79" i="1"/>
  <c r="AH68" i="1"/>
  <c r="AF68" i="1"/>
  <c r="U73" i="1"/>
  <c r="AF65" i="1"/>
  <c r="V60" i="1"/>
  <c r="U71" i="1"/>
  <c r="BC66" i="1"/>
  <c r="AZ66" i="1" s="1"/>
  <c r="U77" i="1"/>
  <c r="P115" i="1"/>
  <c r="V120" i="1"/>
  <c r="BA198" i="1"/>
  <c r="BB198" i="1" s="1"/>
  <c r="C142" i="1"/>
  <c r="G147" i="1"/>
  <c r="F147" i="1"/>
  <c r="L146" i="1"/>
  <c r="J146" i="1"/>
  <c r="H146" i="1"/>
  <c r="AB157" i="1"/>
  <c r="AB165" i="1"/>
  <c r="AB158" i="1"/>
  <c r="N146" i="1"/>
  <c r="AB159" i="1"/>
  <c r="AB163" i="1"/>
  <c r="AB164" i="1"/>
  <c r="AB160" i="1"/>
  <c r="AB161" i="1"/>
  <c r="AB154" i="1"/>
  <c r="AB162" i="1"/>
  <c r="AB155" i="1"/>
  <c r="AB156" i="1"/>
  <c r="AS62" i="1"/>
  <c r="AJ73" i="1"/>
  <c r="AS73" i="1"/>
  <c r="AP73" i="1"/>
  <c r="AM73" i="1"/>
  <c r="AD73" i="1"/>
  <c r="Z73" i="1"/>
  <c r="W73" i="1"/>
  <c r="AP60" i="1"/>
  <c r="W71" i="1"/>
  <c r="AP71" i="1"/>
  <c r="AJ71" i="1"/>
  <c r="Z71" i="1"/>
  <c r="AM71" i="1"/>
  <c r="AD71" i="1"/>
  <c r="W60" i="1"/>
  <c r="Y60" i="1"/>
  <c r="AC62" i="1"/>
  <c r="Y62" i="1"/>
  <c r="AO73" i="1"/>
  <c r="AC73" i="1"/>
  <c r="AL62" i="1"/>
  <c r="AR73" i="1"/>
  <c r="AI62" i="1"/>
  <c r="AO62" i="1"/>
  <c r="AI73" i="1"/>
  <c r="Y73" i="1"/>
  <c r="AF73" i="1"/>
  <c r="AF62" i="1"/>
  <c r="AC71" i="1"/>
  <c r="AC60" i="1"/>
  <c r="Y71" i="1"/>
  <c r="V71" i="1"/>
  <c r="AF76" i="1"/>
  <c r="AI76" i="1"/>
  <c r="AI65" i="1"/>
  <c r="V73" i="1"/>
  <c r="AI71" i="1"/>
  <c r="AI60" i="1"/>
  <c r="BC63" i="1"/>
  <c r="U35" i="1"/>
  <c r="U36" i="1" s="1"/>
  <c r="AR62" i="1"/>
  <c r="AS198" i="1"/>
  <c r="AT198" i="1" s="1"/>
  <c r="BE201" i="1"/>
  <c r="BF201" i="1" s="1"/>
  <c r="AW203" i="1"/>
  <c r="AX203" i="1" s="1"/>
  <c r="AW208" i="1"/>
  <c r="AX208" i="1" s="1"/>
  <c r="AS203" i="1"/>
  <c r="AT203" i="1" s="1"/>
  <c r="BE205" i="1"/>
  <c r="BF205" i="1" s="1"/>
  <c r="AS208" i="1"/>
  <c r="AT208" i="1" s="1"/>
  <c r="BA205" i="1"/>
  <c r="BB205" i="1" s="1"/>
  <c r="BE198" i="1"/>
  <c r="BF198" i="1" s="1"/>
  <c r="BE208" i="1"/>
  <c r="BF208" i="1" s="1"/>
  <c r="BA210" i="1"/>
  <c r="BB210" i="1" s="1"/>
  <c r="BA203" i="1"/>
  <c r="BB203" i="1" s="1"/>
  <c r="AW198" i="1"/>
  <c r="AX198" i="1" s="1"/>
  <c r="BA208" i="1"/>
  <c r="BB208" i="1" s="1"/>
  <c r="AS210" i="1"/>
  <c r="AT210" i="1" s="1"/>
  <c r="AW201" i="1"/>
  <c r="AX201" i="1" s="1"/>
  <c r="AS201" i="1"/>
  <c r="AT201" i="1" s="1"/>
  <c r="AW210" i="1"/>
  <c r="AX210" i="1" s="1"/>
  <c r="AW205" i="1"/>
  <c r="AX205" i="1" s="1"/>
  <c r="BE203" i="1"/>
  <c r="BF203" i="1" s="1"/>
  <c r="AS205" i="1"/>
  <c r="AT205" i="1" s="1"/>
  <c r="BE210" i="1"/>
  <c r="BF210" i="1" s="1"/>
  <c r="BE212" i="1"/>
  <c r="BF212" i="1" s="1"/>
  <c r="BA212" i="1"/>
  <c r="BB212" i="1" s="1"/>
  <c r="AW212" i="1"/>
  <c r="AX212" i="1" s="1"/>
  <c r="AS212" i="1"/>
  <c r="AT212" i="1" s="1"/>
  <c r="AI189" i="1"/>
  <c r="U60" i="1"/>
  <c r="X60" i="1"/>
  <c r="AH60" i="1"/>
  <c r="AG71" i="1"/>
  <c r="AK71" i="1"/>
  <c r="AG60" i="1"/>
  <c r="AB71" i="1"/>
  <c r="AK60" i="1"/>
  <c r="AB60" i="1"/>
  <c r="AJ60" i="1"/>
  <c r="AE71" i="1"/>
  <c r="Z60" i="1"/>
  <c r="T71" i="1"/>
  <c r="AE60" i="1"/>
  <c r="T60" i="1"/>
  <c r="AM60" i="1"/>
  <c r="AH71" i="1"/>
  <c r="X71" i="1"/>
  <c r="AD60" i="1"/>
  <c r="AB73" i="1"/>
  <c r="AN62" i="1"/>
  <c r="AJ62" i="1"/>
  <c r="AB62" i="1"/>
  <c r="W62" i="1"/>
  <c r="AQ73" i="1"/>
  <c r="AE73" i="1"/>
  <c r="AQ62" i="1"/>
  <c r="AM62" i="1"/>
  <c r="AE62" i="1"/>
  <c r="Z62" i="1"/>
  <c r="AH73" i="1"/>
  <c r="AP62" i="1"/>
  <c r="AH62" i="1"/>
  <c r="AD62" i="1"/>
  <c r="U62" i="1"/>
  <c r="AK73" i="1"/>
  <c r="AG73" i="1"/>
  <c r="X73" i="1"/>
  <c r="T73" i="1"/>
  <c r="AK62" i="1"/>
  <c r="AG62" i="1"/>
  <c r="X62" i="1"/>
  <c r="T62" i="1"/>
  <c r="AN73" i="1"/>
  <c r="AH76" i="1"/>
  <c r="AB76" i="1"/>
  <c r="AH65" i="1"/>
  <c r="AB65" i="1"/>
  <c r="AE76" i="1"/>
  <c r="AE65" i="1"/>
  <c r="AZ60" i="1"/>
  <c r="V118" i="1"/>
  <c r="C146" i="1"/>
  <c r="E146" i="1"/>
  <c r="BC65" i="1"/>
  <c r="AZ65" i="1" s="1"/>
  <c r="BB62" i="1"/>
  <c r="BA62" i="1"/>
  <c r="AZ62" i="1"/>
  <c r="BB60" i="1"/>
  <c r="BA60" i="1"/>
  <c r="I79" i="1"/>
  <c r="BL188" i="1" s="1"/>
  <c r="P105" i="1" l="1"/>
  <c r="P83" i="1"/>
  <c r="Q67" i="1"/>
  <c r="Q65" i="1"/>
  <c r="Q64" i="1"/>
  <c r="Q63" i="1"/>
  <c r="I71" i="1" l="1"/>
  <c r="P89" i="1"/>
  <c r="Q46" i="1"/>
  <c r="T166" i="1" s="1"/>
  <c r="C159" i="1" s="1"/>
  <c r="AF78" i="1"/>
  <c r="AR78" i="1"/>
  <c r="AL78" i="1"/>
  <c r="AR67" i="1"/>
  <c r="AL67" i="1"/>
  <c r="AL63" i="1"/>
  <c r="AL74" i="1"/>
  <c r="AL64" i="1"/>
  <c r="AL75" i="1"/>
  <c r="AC64" i="1"/>
  <c r="AR75" i="1"/>
  <c r="AR64" i="1"/>
  <c r="AR63" i="1"/>
  <c r="AR74" i="1"/>
  <c r="Y78" i="1"/>
  <c r="Y67" i="1"/>
  <c r="V64" i="1"/>
  <c r="AC75" i="1"/>
  <c r="AI78" i="1"/>
  <c r="AO78" i="1"/>
  <c r="AC78" i="1"/>
  <c r="AC67" i="1"/>
  <c r="V78" i="1"/>
  <c r="AE78" i="1"/>
  <c r="U78" i="1"/>
  <c r="AD78" i="1"/>
  <c r="AG78" i="1"/>
  <c r="W78" i="1"/>
  <c r="AK78" i="1"/>
  <c r="AB78" i="1"/>
  <c r="AB67" i="1"/>
  <c r="AJ78" i="1"/>
  <c r="Z78" i="1"/>
  <c r="V67" i="1"/>
  <c r="AH78" i="1"/>
  <c r="X78" i="1"/>
  <c r="AK67" i="1"/>
  <c r="AE67" i="1"/>
  <c r="AH67" i="1"/>
  <c r="AF67" i="1"/>
  <c r="AI67" i="1"/>
  <c r="U67" i="1"/>
  <c r="X67" i="1"/>
  <c r="U74" i="1"/>
  <c r="V63" i="1"/>
  <c r="U75" i="1"/>
  <c r="AK64" i="1"/>
  <c r="U76" i="1"/>
  <c r="AY78" i="1"/>
  <c r="AQ78" i="1"/>
  <c r="AX78" i="1"/>
  <c r="AP78" i="1"/>
  <c r="AW78" i="1"/>
  <c r="AV78" i="1"/>
  <c r="AN78" i="1"/>
  <c r="AU78" i="1"/>
  <c r="AM78" i="1"/>
  <c r="AT78" i="1"/>
  <c r="AS78" i="1"/>
  <c r="T67" i="1"/>
  <c r="P126" i="1"/>
  <c r="O158" i="1"/>
  <c r="W76" i="1"/>
  <c r="AP75" i="1"/>
  <c r="AM75" i="1"/>
  <c r="AJ75" i="1"/>
  <c r="AD75" i="1"/>
  <c r="Z76" i="1"/>
  <c r="W75" i="1"/>
  <c r="AS75" i="1"/>
  <c r="Z75" i="1"/>
  <c r="AV75" i="1"/>
  <c r="AS79" i="1"/>
  <c r="AS68" i="1"/>
  <c r="AV79" i="1"/>
  <c r="AP79" i="1"/>
  <c r="AM79" i="1"/>
  <c r="AY74" i="1"/>
  <c r="W74" i="1"/>
  <c r="AP74" i="1"/>
  <c r="AM74" i="1"/>
  <c r="AJ74" i="1"/>
  <c r="AD74" i="1"/>
  <c r="AS74" i="1"/>
  <c r="Z74" i="1"/>
  <c r="AV74" i="1"/>
  <c r="AP77" i="1"/>
  <c r="AM77" i="1"/>
  <c r="AJ77" i="1"/>
  <c r="AD77" i="1"/>
  <c r="Z77" i="1"/>
  <c r="AS77" i="1"/>
  <c r="W77" i="1"/>
  <c r="AV77" i="1"/>
  <c r="AY77" i="1"/>
  <c r="W67" i="1"/>
  <c r="AY67" i="1"/>
  <c r="Z67" i="1"/>
  <c r="W66" i="1"/>
  <c r="Z66" i="1"/>
  <c r="I137" i="1"/>
  <c r="I138" i="1"/>
  <c r="I136" i="1"/>
  <c r="V94" i="1" s="1"/>
  <c r="C135" i="1"/>
  <c r="Z63" i="1"/>
  <c r="Z64" i="1"/>
  <c r="AX67" i="1"/>
  <c r="AU67" i="1"/>
  <c r="AU79" i="1"/>
  <c r="AU68" i="1"/>
  <c r="AX63" i="1"/>
  <c r="Y63" i="1"/>
  <c r="Y74" i="1"/>
  <c r="V74" i="1"/>
  <c r="AX74" i="1"/>
  <c r="AU74" i="1"/>
  <c r="AU63" i="1"/>
  <c r="Y64" i="1"/>
  <c r="Y75" i="1"/>
  <c r="AU64" i="1"/>
  <c r="AU75" i="1"/>
  <c r="AX66" i="1"/>
  <c r="Y66" i="1"/>
  <c r="Y77" i="1"/>
  <c r="AX77" i="1"/>
  <c r="AU77" i="1"/>
  <c r="AU66" i="1"/>
  <c r="AI74" i="1"/>
  <c r="AO74" i="1"/>
  <c r="AC74" i="1"/>
  <c r="AI63" i="1"/>
  <c r="AC63" i="1"/>
  <c r="AO63" i="1"/>
  <c r="AO64" i="1"/>
  <c r="AO75" i="1"/>
  <c r="AC77" i="1"/>
  <c r="AI66" i="1"/>
  <c r="AC66" i="1"/>
  <c r="AO77" i="1"/>
  <c r="AO67" i="1"/>
  <c r="AO79" i="1"/>
  <c r="AR68" i="1"/>
  <c r="AR79" i="1"/>
  <c r="AF75" i="1"/>
  <c r="AF64" i="1"/>
  <c r="AF77" i="1"/>
  <c r="AF66" i="1"/>
  <c r="AF74" i="1"/>
  <c r="AF63" i="1"/>
  <c r="Y65" i="1"/>
  <c r="V76" i="1"/>
  <c r="V65" i="1"/>
  <c r="Y76" i="1"/>
  <c r="AI75" i="1"/>
  <c r="AI64" i="1"/>
  <c r="V75" i="1"/>
  <c r="X77" i="1"/>
  <c r="AY63" i="1"/>
  <c r="AQ63" i="1"/>
  <c r="AM63" i="1"/>
  <c r="AE63" i="1"/>
  <c r="AT74" i="1"/>
  <c r="AH74" i="1"/>
  <c r="W63" i="1"/>
  <c r="AE74" i="1"/>
  <c r="AT63" i="1"/>
  <c r="AP63" i="1"/>
  <c r="AH63" i="1"/>
  <c r="AD63" i="1"/>
  <c r="U63" i="1"/>
  <c r="AW74" i="1"/>
  <c r="AK74" i="1"/>
  <c r="AG74" i="1"/>
  <c r="X74" i="1"/>
  <c r="T74" i="1"/>
  <c r="AW63" i="1"/>
  <c r="AS63" i="1"/>
  <c r="AK63" i="1"/>
  <c r="AG63" i="1"/>
  <c r="X63" i="1"/>
  <c r="T63" i="1"/>
  <c r="AN74" i="1"/>
  <c r="AB74" i="1"/>
  <c r="AV63" i="1"/>
  <c r="AN63" i="1"/>
  <c r="AJ63" i="1"/>
  <c r="AB63" i="1"/>
  <c r="AQ74" i="1"/>
  <c r="AN75" i="1"/>
  <c r="AB75" i="1"/>
  <c r="AV64" i="1"/>
  <c r="AN64" i="1"/>
  <c r="AJ64" i="1"/>
  <c r="AB64" i="1"/>
  <c r="AQ75" i="1"/>
  <c r="AE75" i="1"/>
  <c r="AD64" i="1"/>
  <c r="T75" i="1"/>
  <c r="AK75" i="1"/>
  <c r="AS64" i="1"/>
  <c r="AQ64" i="1"/>
  <c r="AM64" i="1"/>
  <c r="AE64" i="1"/>
  <c r="AT75" i="1"/>
  <c r="AH75" i="1"/>
  <c r="U64" i="1"/>
  <c r="AT64" i="1"/>
  <c r="AP64" i="1"/>
  <c r="AH64" i="1"/>
  <c r="AG75" i="1"/>
  <c r="X75" i="1"/>
  <c r="T64" i="1"/>
  <c r="AG64" i="1"/>
  <c r="X64" i="1"/>
  <c r="Z65" i="1"/>
  <c r="X76" i="1"/>
  <c r="X65" i="1"/>
  <c r="T65" i="1"/>
  <c r="W65" i="1"/>
  <c r="U65" i="1"/>
  <c r="T76" i="1"/>
  <c r="AQ77" i="1"/>
  <c r="AE77" i="1"/>
  <c r="AY66" i="1"/>
  <c r="AQ66" i="1"/>
  <c r="AM66" i="1"/>
  <c r="AE66" i="1"/>
  <c r="AT77" i="1"/>
  <c r="AH77" i="1"/>
  <c r="AT66" i="1"/>
  <c r="AP66" i="1"/>
  <c r="AH66" i="1"/>
  <c r="AD66" i="1"/>
  <c r="U66" i="1"/>
  <c r="AV66" i="1"/>
  <c r="AN66" i="1"/>
  <c r="AJ66" i="1"/>
  <c r="AB66" i="1"/>
  <c r="AW77" i="1"/>
  <c r="AK77" i="1"/>
  <c r="AG77" i="1"/>
  <c r="T77" i="1"/>
  <c r="AW66" i="1"/>
  <c r="AS66" i="1"/>
  <c r="AK66" i="1"/>
  <c r="AG66" i="1"/>
  <c r="X66" i="1"/>
  <c r="T66" i="1"/>
  <c r="AN77" i="1"/>
  <c r="AB77" i="1"/>
  <c r="AQ67" i="1"/>
  <c r="AT67" i="1"/>
  <c r="AP67" i="1"/>
  <c r="AD67" i="1"/>
  <c r="T78" i="1"/>
  <c r="AW67" i="1"/>
  <c r="AS67" i="1"/>
  <c r="AG67" i="1"/>
  <c r="AV67" i="1"/>
  <c r="AN67" i="1"/>
  <c r="AJ67" i="1"/>
  <c r="AM67" i="1"/>
  <c r="AN79" i="1"/>
  <c r="AQ79" i="1"/>
  <c r="AQ68" i="1"/>
  <c r="AT79" i="1"/>
  <c r="AT68" i="1"/>
  <c r="AP68" i="1"/>
  <c r="Z68" i="1"/>
  <c r="AV68" i="1"/>
  <c r="AN68" i="1"/>
  <c r="AJ68" i="1"/>
  <c r="T79" i="1"/>
  <c r="AM68" i="1"/>
  <c r="AG68" i="1"/>
  <c r="W68" i="1"/>
  <c r="T68" i="1"/>
  <c r="AZ67" i="1"/>
  <c r="AZ63" i="1"/>
  <c r="BA68" i="1"/>
  <c r="AZ68" i="1"/>
  <c r="BB68" i="1"/>
  <c r="BB67" i="1"/>
  <c r="BA67" i="1"/>
  <c r="BB66" i="1"/>
  <c r="BA66" i="1"/>
  <c r="AZ64" i="1"/>
  <c r="BA64" i="1"/>
  <c r="BB64" i="1"/>
  <c r="BB63" i="1"/>
  <c r="BA63" i="1"/>
  <c r="W64" i="1"/>
  <c r="Q61" i="1"/>
  <c r="AF72" i="1" l="1"/>
  <c r="AF81" i="1" s="1"/>
  <c r="BI196" i="1" s="1"/>
  <c r="AR61" i="1"/>
  <c r="AR70" i="1" s="1"/>
  <c r="AR72" i="1"/>
  <c r="AR81" i="1" s="1"/>
  <c r="AL72" i="1"/>
  <c r="AL81" i="1" s="1"/>
  <c r="AL61" i="1"/>
  <c r="AL70" i="1" s="1"/>
  <c r="AF61" i="1"/>
  <c r="AF70" i="1" s="1"/>
  <c r="Y72" i="1"/>
  <c r="Y81" i="1" s="1"/>
  <c r="BI191" i="1" s="1"/>
  <c r="U72" i="1"/>
  <c r="U81" i="1" s="1"/>
  <c r="AC61" i="1"/>
  <c r="AC70" i="1" s="1"/>
  <c r="P130" i="1"/>
  <c r="AY72" i="1"/>
  <c r="AY81" i="1" s="1"/>
  <c r="AM72" i="1"/>
  <c r="AM81" i="1" s="1"/>
  <c r="AD72" i="1"/>
  <c r="AD81" i="1" s="1"/>
  <c r="Z72" i="1"/>
  <c r="AV72" i="1"/>
  <c r="AV81" i="1" s="1"/>
  <c r="BL209" i="1" s="1"/>
  <c r="AP72" i="1"/>
  <c r="AP81" i="1" s="1"/>
  <c r="AJ72" i="1"/>
  <c r="AJ81" i="1" s="1"/>
  <c r="AS72" i="1"/>
  <c r="AS81" i="1" s="1"/>
  <c r="BL207" i="1" s="1"/>
  <c r="W72" i="1"/>
  <c r="W61" i="1"/>
  <c r="W70" i="1" s="1"/>
  <c r="AY61" i="1"/>
  <c r="AY70" i="1" s="1"/>
  <c r="Z61" i="1"/>
  <c r="Z70" i="1" s="1"/>
  <c r="Y61" i="1"/>
  <c r="Y70" i="1" s="1"/>
  <c r="AX61" i="1"/>
  <c r="AX70" i="1" s="1"/>
  <c r="V61" i="1"/>
  <c r="V70" i="1" s="1"/>
  <c r="AU72" i="1"/>
  <c r="AU81" i="1" s="1"/>
  <c r="AU61" i="1"/>
  <c r="AU70" i="1" s="1"/>
  <c r="AO72" i="1"/>
  <c r="AO81" i="1" s="1"/>
  <c r="AO61" i="1"/>
  <c r="AO70" i="1" s="1"/>
  <c r="AX72" i="1"/>
  <c r="AX81" i="1" s="1"/>
  <c r="V72" i="1"/>
  <c r="AI72" i="1"/>
  <c r="AI81" i="1" s="1"/>
  <c r="BI200" i="1" s="1"/>
  <c r="AI61" i="1"/>
  <c r="AI70" i="1" s="1"/>
  <c r="AC72" i="1"/>
  <c r="AC81" i="1" s="1"/>
  <c r="AV61" i="1"/>
  <c r="AV70" i="1" s="1"/>
  <c r="T32" i="1"/>
  <c r="T33" i="1"/>
  <c r="AQ72" i="1"/>
  <c r="AQ81" i="1" s="1"/>
  <c r="AQ61" i="1"/>
  <c r="AQ70" i="1" s="1"/>
  <c r="AM61" i="1"/>
  <c r="AM70" i="1" s="1"/>
  <c r="AE61" i="1"/>
  <c r="AE70" i="1" s="1"/>
  <c r="AT72" i="1"/>
  <c r="AT81" i="1" s="1"/>
  <c r="AH72" i="1"/>
  <c r="AH81" i="1" s="1"/>
  <c r="AT61" i="1"/>
  <c r="AT70" i="1" s="1"/>
  <c r="AP61" i="1"/>
  <c r="AP70" i="1" s="1"/>
  <c r="AH61" i="1"/>
  <c r="AH70" i="1" s="1"/>
  <c r="AD61" i="1"/>
  <c r="AD70" i="1" s="1"/>
  <c r="U61" i="1"/>
  <c r="U70" i="1" s="1"/>
  <c r="AW72" i="1"/>
  <c r="AW81" i="1" s="1"/>
  <c r="AK72" i="1"/>
  <c r="AK81" i="1" s="1"/>
  <c r="AG72" i="1"/>
  <c r="AG81" i="1" s="1"/>
  <c r="X72" i="1"/>
  <c r="X81" i="1" s="1"/>
  <c r="T72" i="1"/>
  <c r="T81" i="1" s="1"/>
  <c r="AW61" i="1"/>
  <c r="AW70" i="1" s="1"/>
  <c r="AS61" i="1"/>
  <c r="AS70" i="1" s="1"/>
  <c r="AK61" i="1"/>
  <c r="AK70" i="1" s="1"/>
  <c r="AG61" i="1"/>
  <c r="AG70" i="1" s="1"/>
  <c r="X61" i="1"/>
  <c r="T61" i="1"/>
  <c r="AN72" i="1"/>
  <c r="AN81" i="1" s="1"/>
  <c r="AB72" i="1"/>
  <c r="AB81" i="1" s="1"/>
  <c r="AN61" i="1"/>
  <c r="AN70" i="1" s="1"/>
  <c r="AJ61" i="1"/>
  <c r="AJ70" i="1" s="1"/>
  <c r="AB61" i="1"/>
  <c r="AB70" i="1" s="1"/>
  <c r="AE72" i="1"/>
  <c r="AE81" i="1" s="1"/>
  <c r="BB61" i="1"/>
  <c r="BB70" i="1" s="1"/>
  <c r="C139" i="1" s="1"/>
  <c r="BA61" i="1"/>
  <c r="BA70" i="1" s="1"/>
  <c r="C137" i="1" s="1"/>
  <c r="AZ61" i="1"/>
  <c r="AZ70" i="1" s="1"/>
  <c r="C136" i="1" s="1"/>
  <c r="R57" i="1"/>
  <c r="Q57" i="1"/>
  <c r="U94" i="1" l="1"/>
  <c r="V81" i="1"/>
  <c r="BI189" i="1" s="1"/>
  <c r="W81" i="1"/>
  <c r="BL189" i="1" s="1"/>
  <c r="T70" i="1"/>
  <c r="T40" i="1" s="1"/>
  <c r="X70" i="1"/>
  <c r="C84" i="1" s="1"/>
  <c r="Z81" i="1"/>
  <c r="BL191" i="1" s="1"/>
  <c r="BL194" i="1"/>
  <c r="BI207" i="1"/>
  <c r="BL200" i="1"/>
  <c r="BL196" i="1"/>
  <c r="BL202" i="1"/>
  <c r="BI202" i="1"/>
  <c r="BL204" i="1"/>
  <c r="BI209" i="1"/>
  <c r="BI194" i="1"/>
  <c r="BL211" i="1"/>
  <c r="BI204" i="1"/>
  <c r="BI211" i="1"/>
  <c r="T28" i="1"/>
  <c r="T31" i="1"/>
  <c r="T29" i="1"/>
  <c r="U95" i="1"/>
  <c r="V95" i="1" s="1"/>
  <c r="T30" i="1"/>
  <c r="C27" i="1"/>
  <c r="T27" i="1"/>
  <c r="I116" i="1"/>
  <c r="V90" i="1" s="1"/>
  <c r="I122" i="1"/>
  <c r="C122" i="1"/>
  <c r="R123" i="1" s="1"/>
  <c r="T123" i="1" s="1"/>
  <c r="C94" i="1"/>
  <c r="R98" i="1" s="1"/>
  <c r="T98" i="1" s="1"/>
  <c r="I80" i="1"/>
  <c r="V83" i="1" s="1"/>
  <c r="C116" i="1"/>
  <c r="R117" i="1" s="1"/>
  <c r="T117" i="1" s="1"/>
  <c r="D116" i="1"/>
  <c r="C127" i="1"/>
  <c r="R128" i="1" s="1"/>
  <c r="D111" i="1"/>
  <c r="D94" i="1"/>
  <c r="C106" i="1"/>
  <c r="R107" i="1" s="1"/>
  <c r="T107" i="1" s="1"/>
  <c r="I111" i="1"/>
  <c r="V89" i="1" s="1"/>
  <c r="D106" i="1"/>
  <c r="D127" i="1"/>
  <c r="I84" i="1"/>
  <c r="V84" i="1" s="1"/>
  <c r="C80" i="1"/>
  <c r="R82" i="1" s="1"/>
  <c r="C90" i="1"/>
  <c r="D122" i="1"/>
  <c r="D101" i="1"/>
  <c r="I94" i="1"/>
  <c r="C111" i="1"/>
  <c r="I101" i="1"/>
  <c r="V87" i="1" s="1"/>
  <c r="I127" i="1"/>
  <c r="V92" i="1" s="1"/>
  <c r="BH194" i="1" l="1"/>
  <c r="AJ191" i="1" s="1"/>
  <c r="AL191" i="1" s="1"/>
  <c r="R92" i="1"/>
  <c r="T92" i="1" s="1"/>
  <c r="T82" i="1"/>
  <c r="T128" i="1"/>
  <c r="S128" i="1"/>
  <c r="BH204" i="1"/>
  <c r="BO204" i="1" s="1"/>
  <c r="R112" i="1"/>
  <c r="T112" i="1" s="1"/>
  <c r="R86" i="1"/>
  <c r="BH191" i="1"/>
  <c r="AJ190" i="1" s="1"/>
  <c r="AL190" i="1" s="1"/>
  <c r="T39" i="1"/>
  <c r="T43" i="1" s="1"/>
  <c r="BH183" i="1" s="1"/>
  <c r="T34" i="1"/>
  <c r="C28" i="1" s="1"/>
  <c r="D90" i="1"/>
  <c r="U85" i="1" s="1"/>
  <c r="D84" i="1"/>
  <c r="U84" i="1" s="1"/>
  <c r="D80" i="1"/>
  <c r="U83" i="1" s="1"/>
  <c r="V91" i="1"/>
  <c r="U91" i="1"/>
  <c r="U88" i="1"/>
  <c r="BH196" i="1"/>
  <c r="BO196" i="1" s="1"/>
  <c r="U86" i="1"/>
  <c r="BH209" i="1"/>
  <c r="BO209" i="1" s="1"/>
  <c r="U89" i="1"/>
  <c r="V86" i="1"/>
  <c r="BH211" i="1"/>
  <c r="BO211" i="1" s="1"/>
  <c r="BH207" i="1"/>
  <c r="BO207" i="1" s="1"/>
  <c r="BH202" i="1"/>
  <c r="BO202" i="1" s="1"/>
  <c r="U92" i="1"/>
  <c r="U87" i="1"/>
  <c r="U90" i="1"/>
  <c r="C101" i="1"/>
  <c r="R102" i="1" s="1"/>
  <c r="T102" i="1" s="1"/>
  <c r="I106" i="1"/>
  <c r="I90" i="1"/>
  <c r="V85" i="1" s="1"/>
  <c r="BN209" i="1"/>
  <c r="S117" i="1"/>
  <c r="BN196" i="1"/>
  <c r="BH189" i="1"/>
  <c r="Q129" i="1" l="1"/>
  <c r="Q130" i="1"/>
  <c r="BN202" i="1"/>
  <c r="Q132" i="1"/>
  <c r="S92" i="1"/>
  <c r="BO194" i="1"/>
  <c r="AJ195" i="1"/>
  <c r="AK195" i="1" s="1"/>
  <c r="T86" i="1"/>
  <c r="BN191" i="1" s="1"/>
  <c r="S86" i="1"/>
  <c r="BN204" i="1"/>
  <c r="BO191" i="1"/>
  <c r="T41" i="1"/>
  <c r="C42" i="1" s="1"/>
  <c r="AK190" i="1"/>
  <c r="AK191" i="1"/>
  <c r="AJ189" i="1"/>
  <c r="AK189" i="1" s="1"/>
  <c r="BO189" i="1"/>
  <c r="AJ196" i="1"/>
  <c r="AK196" i="1" s="1"/>
  <c r="AJ197" i="1"/>
  <c r="AJ194" i="1"/>
  <c r="AJ198" i="1"/>
  <c r="V88" i="1"/>
  <c r="BN200" i="1"/>
  <c r="BH200" i="1"/>
  <c r="BO200" i="1" s="1"/>
  <c r="AJ192" i="1"/>
  <c r="S82" i="1"/>
  <c r="S123" i="1"/>
  <c r="BN211" i="1"/>
  <c r="S107" i="1"/>
  <c r="S112" i="1"/>
  <c r="S98" i="1"/>
  <c r="BN207" i="1"/>
  <c r="BN194" i="1"/>
  <c r="BN189" i="1"/>
  <c r="AL195" i="1" l="1"/>
  <c r="AL196" i="1"/>
  <c r="AL189" i="1"/>
  <c r="S102" i="1"/>
  <c r="S129" i="1" s="1"/>
  <c r="AK197" i="1"/>
  <c r="AL197" i="1"/>
  <c r="AK194" i="1"/>
  <c r="AL194" i="1"/>
  <c r="AK192" i="1"/>
  <c r="AL192" i="1"/>
  <c r="AK198" i="1"/>
  <c r="AL198" i="1"/>
  <c r="AJ193" i="1"/>
  <c r="X118" i="1" l="1"/>
  <c r="U118" i="1"/>
  <c r="Y112" i="1"/>
  <c r="AA112" i="1"/>
  <c r="AA116" i="1"/>
  <c r="Z112" i="1"/>
  <c r="Z111" i="1"/>
  <c r="Y111" i="1"/>
  <c r="AA111" i="1"/>
  <c r="Y116" i="1"/>
  <c r="Z116" i="1"/>
  <c r="Z115" i="1"/>
  <c r="Y115" i="1"/>
  <c r="AA115" i="1"/>
  <c r="AK193" i="1"/>
  <c r="AL193" i="1"/>
  <c r="X119" i="1" l="1"/>
  <c r="AB111" i="1"/>
  <c r="AB112" i="1"/>
  <c r="AB116" i="1"/>
  <c r="AB115" i="1"/>
  <c r="U119" i="1"/>
  <c r="AB113" i="1" l="1"/>
  <c r="Y118" i="1" s="1"/>
  <c r="AB117" i="1"/>
  <c r="Y119" i="1" s="1"/>
  <c r="U120" i="1"/>
  <c r="U121" i="1" s="1"/>
  <c r="U122" i="1" s="1"/>
  <c r="U123" i="1" s="1"/>
  <c r="U124" i="1" s="1"/>
  <c r="U125" i="1" s="1"/>
  <c r="U126" i="1" s="1"/>
  <c r="U127" i="1" s="1"/>
  <c r="U128" i="1" s="1"/>
  <c r="X120" i="1"/>
  <c r="R129" i="1" l="1"/>
  <c r="X121" i="1"/>
  <c r="X122" i="1" s="1"/>
  <c r="X123" i="1" s="1"/>
  <c r="X124" i="1" s="1"/>
  <c r="X125" i="1" s="1"/>
  <c r="X126" i="1" s="1"/>
  <c r="X127" i="1" s="1"/>
  <c r="X128" i="1" s="1"/>
  <c r="R130" i="1" l="1"/>
  <c r="R131" i="1" s="1"/>
  <c r="BH214" i="1" s="1"/>
</calcChain>
</file>

<file path=xl/sharedStrings.xml><?xml version="1.0" encoding="utf-8"?>
<sst xmlns="http://schemas.openxmlformats.org/spreadsheetml/2006/main" count="108" uniqueCount="102">
  <si>
    <t>BREEAM-NOR Egendeklarasjon HEA 9</t>
  </si>
  <si>
    <t>BREEAM-NOR Egendeklarasjon A20</t>
  </si>
  <si>
    <t>- Velg -</t>
  </si>
  <si>
    <t>Halvharde gulvbelegg, tekstile gulvbelegg og laminatgulv</t>
  </si>
  <si>
    <t>Trepanel:</t>
  </si>
  <si>
    <t>Trekonstruksjoner:</t>
  </si>
  <si>
    <t>Testkrav:</t>
  </si>
  <si>
    <t>2. EN 13999-2:2007 – VOC (flyktige organiske forbindelser)</t>
  </si>
  <si>
    <t>3. EN 13999-3:2007 – Flyktige aldehyder</t>
  </si>
  <si>
    <t>4. EN 13999-4:2007 – Flyktige diisocyanater</t>
  </si>
  <si>
    <t>5. EN 12149:1997</t>
  </si>
  <si>
    <t>Tapet</t>
  </si>
  <si>
    <t>HEA 9</t>
  </si>
  <si>
    <t>Produkt:</t>
  </si>
  <si>
    <t xml:space="preserve">Ferdig utfylt skjema undertegnes av en juridisk ansvarlig person hos produsent, f.eks. teknisk sjef eller daglig leder. </t>
  </si>
  <si>
    <t xml:space="preserve">Det er viktig at opplysningene som oppgis her er korrekte, og det oppfordres til grundighet når man undersøker hvorvidt emisjonstester og/eller testrapporter viser at produktet tilfredsstiller de standardene og emisjonsgrensene som BREEAM-NOR har satt. </t>
  </si>
  <si>
    <r>
      <t xml:space="preserve">Ferdig utfylt skjema undertegnes av en </t>
    </r>
    <r>
      <rPr>
        <i/>
        <sz val="11"/>
        <color theme="1"/>
        <rFont val="Calibri"/>
        <family val="2"/>
        <scheme val="minor"/>
      </rPr>
      <t>juridisk ansvarlig person</t>
    </r>
    <r>
      <rPr>
        <sz val="11"/>
        <color theme="1"/>
        <rFont val="Calibri"/>
        <family val="2"/>
        <scheme val="minor"/>
      </rPr>
      <t xml:space="preserve"> hos produsent, f.eks. teknisk sjef eller daglig leder. Stoffer som skal unngås kan ikke finnes i produktet, verken i fri, i bunden eller i naturlig form. </t>
    </r>
  </si>
  <si>
    <t>Juridisk ansvarlig:</t>
  </si>
  <si>
    <t>Stilling:</t>
  </si>
  <si>
    <t>Dato:</t>
  </si>
  <si>
    <t>Registreringsdato for prosjektet:</t>
  </si>
  <si>
    <t>Note 1</t>
  </si>
  <si>
    <t>Note 2</t>
  </si>
  <si>
    <t>Note 3</t>
  </si>
  <si>
    <t xml:space="preserve">1. EN 717-1:2004 </t>
  </si>
  <si>
    <t>Testkrav:
1. EN 717-1:2004</t>
  </si>
  <si>
    <t>2. EN 13999-2:2007 – VOC (flyktige organiske forbindelser)
3. EN 13999-3:2007 – Flyktige aldehyder</t>
  </si>
  <si>
    <t>4. EN 13999-4:2007 – Flyktige diisocyanater
5. EN 12149:1997</t>
  </si>
  <si>
    <t>Produsent:</t>
  </si>
  <si>
    <t>Handelsnavn:</t>
  </si>
  <si>
    <t>Jeg bekrefter at ovennevnte opplysninger er korrekte og gitt etter beste evne, og er klar over at feilaktige og/eller villedende opplysninger kan få juridiske konsekvenser.</t>
  </si>
  <si>
    <t>e</t>
  </si>
  <si>
    <t>h</t>
  </si>
  <si>
    <t>f</t>
  </si>
  <si>
    <t>j</t>
  </si>
  <si>
    <t>g</t>
  </si>
  <si>
    <t>b</t>
  </si>
  <si>
    <t>Nei</t>
  </si>
  <si>
    <t>Ja</t>
  </si>
  <si>
    <t>a</t>
  </si>
  <si>
    <t>c</t>
  </si>
  <si>
    <t>d</t>
  </si>
  <si>
    <t>i</t>
  </si>
  <si>
    <t>k</t>
  </si>
  <si>
    <t>l</t>
  </si>
  <si>
    <t>mg/m²h</t>
  </si>
  <si>
    <t>mg/m³</t>
  </si>
  <si>
    <t>Kommentarer:</t>
  </si>
  <si>
    <t>A20</t>
  </si>
  <si>
    <t>Type deklarasjon:</t>
  </si>
  <si>
    <t>Tilbake til utfylling</t>
  </si>
  <si>
    <t>Type</t>
  </si>
  <si>
    <t>Handelsnavn</t>
  </si>
  <si>
    <t>VOC-innhold</t>
  </si>
  <si>
    <t>Svanen</t>
  </si>
  <si>
    <t>Signatur juridisk ansvarlig hos produsent:</t>
  </si>
  <si>
    <t>bruker inndelingen over på maling og lakk. Vi ber om at samme inndeling av type (a, b, c,..., l) benyttes i kolonne 2 i tabellen der produktinformasjon deklareres.</t>
  </si>
  <si>
    <t>EUs malingsdirektiv (2004/42/EC) og forskrift om begrensning i bruk av helse- og miljøfarlige kjemikalier og andre produkter (produktforskriften) vedlegg VII</t>
  </si>
  <si>
    <t>til § 2-24 til § 2-26 om organiske forbindelser i maling- og lakkeringsprodukter</t>
  </si>
  <si>
    <t>For faste bygningsprodukter vil godkjent dokumentasjon være ett av følgende:</t>
  </si>
  <si>
    <t>Er produsenten i tvil, bør man benytte egne interne og eksterne konsulenter.</t>
  </si>
  <si>
    <t>k) Flerfargede malinger
l) Effektmaling</t>
  </si>
  <si>
    <t>i) Enkomponent spesialmaling
j) Tokomponent spesialmaling</t>
  </si>
  <si>
    <t>g) Grunning
h) Heftgrunning</t>
  </si>
  <si>
    <t>c) Utendørs maling for mineralske flater
d) Maling for treverk, metall og plast innendørs/utendørs
e) Lakk, lasur og beis for innendørs/utendørs behandling av tre, metall og plast
f) Tynnsjiktet lasur, olje eller beis</t>
  </si>
  <si>
    <t>a) Matt innendørs vegg- og takmaling (glansgrad ≤ 25 @ 60°).
b) Blank innendørs vegg- og takmaling (glansgrad &gt; 25 @ 60°).</t>
  </si>
  <si>
    <t>Under grenseverdien *</t>
  </si>
  <si>
    <t xml:space="preserve"> All interiørmaling og lakk er dessuten også motstandsdyktig mot sopp og alger (før påføring).</t>
  </si>
  <si>
    <t xml:space="preserve">* Interiørmaling og lakk har blitt testet mot EN ISO 11890-2:2006 Malinger og lakk. Bestemmelse av VOC-innhold (flyktige organiske forbindelser). Gasskromatografisk metode og tilfredsstiller de maksimale grenseverdiene for VOC-innhold i fase II som fastsatt i tillegg II til direktiv 2004/42/EC om interiørmaling. </t>
  </si>
  <si>
    <t>g/l</t>
  </si>
  <si>
    <t>Det finnes ett stoff på listen som ikke oppfyller dokumentasjonskravet. Produktet/produktene tilfredsstiller derfor ikke HEA 9-kravene til BREEAM-NOR.</t>
  </si>
  <si>
    <t>Det finnes tre stoffer på listen som ikke oppfyller dokumentasjonskravet. Produktet/produktene tilfredsstiller derfor ikke HEA 9-kravene til BREEAM-NOR.</t>
  </si>
  <si>
    <t>Det finnes fire stoffer på listen som ikke oppfyller dokumentasjonskravet. Produktet/produktene tilfredsstiller derfor ikke HEA 9-kravene til BREEAM-NOR.</t>
  </si>
  <si>
    <t>Det finnes fem stoffer på listen som ikke oppfyller dokumentasjonskravet. Produktet/produktene tilfredsstiller derfor ikke HEA 9-kravene til BREEAM-NOR.</t>
  </si>
  <si>
    <t>Det finnes seks stoffer på listen som ikke oppfyller dokumentasjonskravet. Produktet/produktene tilfredsstiller derfor ikke HEA 9-kravene til BREEAM-NOR.</t>
  </si>
  <si>
    <t>Det finnes syv stoffer på listen som ikke oppfyller dokumentasjonskravet. Produktet/produktene tilfredsstiller derfor ikke HEA 9-kravene til BREEAM-NOR.</t>
  </si>
  <si>
    <t>Det finnes åtte stoffer på listen som ikke oppfyller dokumentasjonskravet. Produktet/produktene tilfredsstiller derfor ikke HEA 9-kravene til BREEAM-NOR.</t>
  </si>
  <si>
    <t>Det finnes ni stoffer på listen som ikke oppfyller dokumentasjonskravet. Produktet/produktene tilfredsstiller derfor ikke HEA 9-kravene til BREEAM-NOR.</t>
  </si>
  <si>
    <t>Det finnes ti stoffer på listen som ikke oppfyller dokumentasjonskravet. Produktet/produktene tilfredsstiller derfor ikke HEA 9-kravene til BREEAM-NOR.</t>
  </si>
  <si>
    <t>Det finnes to stoffer på listen som ikke oppfyller dokumentasjonskravet. Produktet/produktene tilfredsstiller derfor ikke A20-kravene til BREEAM-NOR.</t>
  </si>
  <si>
    <t>Det finnes tre stoffer på listen som ikke oppfyller dokumentasjonskravet. Produktet/produktene tilfredsstiller derfor ikke A20-kravene til BREEAM-NOR.</t>
  </si>
  <si>
    <t>Det finnes fire stoffer på listen som ikke oppfyller dokumentasjonskravet. Produktet/produktene tilfredsstiller derfor ikke A20-kravene til BREEAM-NOR.</t>
  </si>
  <si>
    <t>Det finnes fem stoffer på listen som ikke oppfyller dokumentasjonskravet. Produktet/produktene tilfredsstiller derfor ikke A20-kravene til BREEAM-NOR.</t>
  </si>
  <si>
    <t>Det finnes seks stoffer på listen som ikke oppfyller dokumentasjonskravet. Produktet/produktene tilfredsstiller derfor ikke A20-kravene til BREEAM-NOR.</t>
  </si>
  <si>
    <t>Det finnes syv stoffer på listen som ikke oppfyller dokumentasjonskravet. Produktet/produktene tilfredsstiller derfor ikke A20-kravene til BREEAM-NOR.</t>
  </si>
  <si>
    <t>Det finnes åtte stoffer på listen som ikke oppfyller dokumentasjonskravet. Produktet/produktene tilfredsstiller derfor ikke A20-kravene til BREEAM-NOR.</t>
  </si>
  <si>
    <t>Det finnes ni stoffer på listen som ikke oppfyller dokumentasjonskravet. Produktet/produktene tilfredsstiller derfor ikke A20-kravene til BREEAM-NOR.</t>
  </si>
  <si>
    <t>Det finnes ti stoffer på listen som ikke oppfyller dokumentasjonskravet. Produktet/produktene tilfredsstiller derfor ikke A20-kravene til BREEAM-NOR.</t>
  </si>
  <si>
    <t>A-20 14.03.2012 til 30.03.2013</t>
  </si>
  <si>
    <t>A-20 etter 01.04.2013</t>
  </si>
  <si>
    <t xml:space="preserve"> ¹⁾</t>
  </si>
  <si>
    <t>²⁾</t>
  </si>
  <si>
    <t xml:space="preserve">Konsentrasjoner under grenseverdien på ≤ 0,1 % godtas. Det er forutsatt at informasjonen i A20-listen er kjent. Bemerk dato på deklarasjonsskjema må samsvare med gjeldende prosessnotat i det angitte tidsrom. </t>
  </si>
  <si>
    <t>&lt; 0,1 %</t>
  </si>
  <si>
    <t>Vannbasert</t>
  </si>
  <si>
    <t>Løsemiddelbasert</t>
  </si>
  <si>
    <t xml:space="preserve"> Karakter 1-6 (grønn eller hvit) iht. ECOproduct (Norsk Byggtjeneste), Sintef Byggforsk Teknisk Godkjenning utarbeidet etter 1. januar 2010, Miljømerket Svanen eller EU-blomsten. For kjemiske produkter kan man også sjekke opp mot sikkerhetsdatabladet (SDS) for produktet.</t>
  </si>
  <si>
    <t>1. Velg Fil/skriv ut/Adobe PDF</t>
  </si>
  <si>
    <t>2 . Lagre dokumentet som PDF-fil</t>
  </si>
  <si>
    <t>3. Skriv ut dokumentet og signer</t>
  </si>
  <si>
    <t>4. Skann dokumentet, og publiser</t>
  </si>
  <si>
    <t>Versjon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</si>
</sst>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1"/>
      <color theme="1"/>
      <name val="Calibri"/>
      <family val="2"/>
      <scheme val="minor"/>
    </font>
    <font>
      <vertAlign val="superscript"/>
      <sz val="8"/>
      <color theme="1"/>
      <name val="Arial"/>
      <family val="2"/>
    </font>
    <font>
      <u/>
      <sz val="11"/>
      <color theme="10"/>
      <name val="Calibri"/>
      <family val="2"/>
      <scheme val="minor"/>
    </font>
    <font>
      <sz val="11"/>
      <color theme="1"/>
      <name val="Calibri"/>
      <family val="2"/>
    </font>
    <font>
      <i/>
      <sz val="11"/>
      <color theme="1"/>
      <name val="Calibri"/>
      <family val="2"/>
      <scheme val="minor"/>
    </font>
    <font>
      <b/>
      <sz val="14"/>
      <color theme="1"/>
      <name val="Calibri"/>
      <family val="2"/>
      <scheme val="minor"/>
    </font>
    <font>
      <sz val="10"/>
      <color theme="1"/>
      <name val="Calibri"/>
      <family val="2"/>
      <scheme val="minor"/>
    </font>
    <font>
      <vertAlign val="superscript"/>
      <sz val="11"/>
      <color theme="1"/>
      <name val="Calibri"/>
      <family val="2"/>
    </font>
    <font>
      <sz val="8"/>
      <color rgb="FF000000"/>
      <name val="Segoe UI"/>
      <family val="2"/>
    </font>
    <font>
      <b/>
      <sz val="12"/>
      <color theme="1"/>
      <name val="Calibri"/>
      <family val="2"/>
      <scheme val="minor"/>
    </font>
    <font>
      <b/>
      <sz val="16"/>
      <color theme="1"/>
      <name val="Calibri"/>
      <family val="2"/>
      <scheme val="minor"/>
    </font>
    <font>
      <sz val="8"/>
      <color theme="1"/>
      <name val="Calibri"/>
      <family val="2"/>
      <scheme val="minor"/>
    </font>
    <font>
      <b/>
      <sz val="10"/>
      <color theme="1"/>
      <name val="Calibri"/>
      <family val="2"/>
      <scheme val="minor"/>
    </font>
    <font>
      <sz val="11"/>
      <color rgb="FF004C99"/>
      <name val="Helvetica Neue"/>
      <charset val="1"/>
    </font>
    <font>
      <i/>
      <sz val="10"/>
      <color theme="1"/>
      <name val="Calibri"/>
      <family val="2"/>
      <scheme val="minor"/>
    </font>
    <font>
      <i/>
      <sz val="9"/>
      <color theme="1"/>
      <name val="Calibri"/>
      <family val="2"/>
      <scheme val="minor"/>
    </font>
    <font>
      <b/>
      <u/>
      <sz val="11"/>
      <color theme="10"/>
      <name val="Calibri"/>
      <family val="2"/>
      <scheme val="minor"/>
    </font>
    <font>
      <i/>
      <sz val="8"/>
      <color theme="9" tint="-0.499984740745262"/>
      <name val="Calibri"/>
      <family val="2"/>
      <scheme val="minor"/>
    </font>
    <font>
      <b/>
      <sz val="11"/>
      <name val="Calibri"/>
      <family val="2"/>
      <scheme val="minor"/>
    </font>
    <font>
      <sz val="11"/>
      <color rgb="FF333333"/>
      <name val="Helvetica Neue"/>
      <charset val="1"/>
    </font>
    <font>
      <i/>
      <sz val="11"/>
      <color rgb="FF333333"/>
      <name val="Helvetica Neue"/>
      <charset val="1"/>
    </font>
    <font>
      <i/>
      <sz val="8"/>
      <color theme="1"/>
      <name val="Calibri"/>
      <family val="2"/>
      <scheme val="minor"/>
    </font>
    <font>
      <i/>
      <sz val="14"/>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D0EBB3"/>
        <bgColor indexed="64"/>
      </patternFill>
    </fill>
    <fill>
      <patternFill patternType="solid">
        <fgColor rgb="FFE9F5DB"/>
        <bgColor indexed="64"/>
      </patternFill>
    </fill>
    <fill>
      <patternFill patternType="solid">
        <fgColor rgb="FF92D050"/>
        <bgColor indexed="64"/>
      </patternFill>
    </fill>
  </fills>
  <borders count="17">
    <border>
      <left/>
      <right/>
      <top/>
      <bottom/>
      <diagonal/>
    </border>
    <border>
      <left/>
      <right/>
      <top/>
      <bottom style="thin">
        <color indexed="64"/>
      </bottom>
      <diagonal/>
    </border>
    <border>
      <left/>
      <right/>
      <top style="thin">
        <color indexed="64"/>
      </top>
      <bottom/>
      <diagonal/>
    </border>
    <border>
      <left/>
      <right/>
      <top style="thin">
        <color theme="0" tint="-0.499984740745262"/>
      </top>
      <bottom/>
      <diagonal/>
    </border>
    <border>
      <left/>
      <right/>
      <top/>
      <bottom style="thin">
        <color theme="0"/>
      </bottom>
      <diagonal/>
    </border>
    <border>
      <left style="thin">
        <color theme="0" tint="-0.499984740745262"/>
      </left>
      <right/>
      <top style="thin">
        <color theme="0" tint="-0.499984740745262"/>
      </top>
      <bottom/>
      <diagonal/>
    </border>
    <border>
      <left/>
      <right style="thin">
        <color theme="0"/>
      </right>
      <top style="thin">
        <color theme="0" tint="-0.499984740745262"/>
      </top>
      <bottom/>
      <diagonal/>
    </border>
    <border>
      <left style="thin">
        <color theme="0" tint="-0.499984740745262"/>
      </left>
      <right/>
      <top/>
      <bottom style="thin">
        <color theme="0"/>
      </bottom>
      <diagonal/>
    </border>
    <border>
      <left/>
      <right style="thin">
        <color theme="0"/>
      </right>
      <top/>
      <bottom style="thin">
        <color theme="0"/>
      </bottom>
      <diagonal/>
    </border>
    <border>
      <left style="thin">
        <color theme="0" tint="-0.499984740745262"/>
      </left>
      <right/>
      <top style="thin">
        <color theme="0" tint="-0.499984740745262"/>
      </top>
      <bottom style="thin">
        <color theme="0"/>
      </bottom>
      <diagonal/>
    </border>
    <border>
      <left/>
      <right/>
      <top style="thin">
        <color theme="0" tint="-0.499984740745262"/>
      </top>
      <bottom style="thin">
        <color theme="0"/>
      </bottom>
      <diagonal/>
    </border>
    <border>
      <left/>
      <right style="thin">
        <color theme="0"/>
      </right>
      <top style="thin">
        <color theme="0" tint="-0.499984740745262"/>
      </top>
      <bottom style="thin">
        <color theme="0"/>
      </bottom>
      <diagonal/>
    </border>
    <border>
      <left style="thin">
        <color theme="0" tint="-0.499984740745262"/>
      </left>
      <right/>
      <top/>
      <bottom/>
      <diagonal/>
    </border>
    <border>
      <left/>
      <right style="thin">
        <color theme="0"/>
      </right>
      <top/>
      <bottom/>
      <diagonal/>
    </border>
    <border>
      <left/>
      <right/>
      <top/>
      <bottom style="thin">
        <color theme="0" tint="-0.499984740745262"/>
      </bottom>
      <diagonal/>
    </border>
    <border>
      <left/>
      <right style="thin">
        <color theme="0" tint="-0.499984740745262"/>
      </right>
      <top/>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200">
    <xf numFmtId="0" fontId="0" fillId="0" borderId="0" xfId="0"/>
    <xf numFmtId="0" fontId="0" fillId="0" borderId="0" xfId="0" applyFill="1"/>
    <xf numFmtId="0" fontId="0" fillId="0" borderId="0" xfId="0" applyProtection="1">
      <protection locked="0"/>
    </xf>
    <xf numFmtId="0" fontId="0" fillId="0" borderId="0" xfId="0" applyFill="1" applyProtection="1">
      <protection locked="0"/>
    </xf>
    <xf numFmtId="0" fontId="0" fillId="0" borderId="0" xfId="0" applyFill="1" applyBorder="1" applyProtection="1">
      <protection locked="0"/>
    </xf>
    <xf numFmtId="0" fontId="0" fillId="0" borderId="0" xfId="0" applyFill="1" applyAlignment="1" applyProtection="1">
      <alignment vertical="top" wrapText="1"/>
      <protection locked="0"/>
    </xf>
    <xf numFmtId="14" fontId="0" fillId="0" borderId="0" xfId="0" applyNumberFormat="1" applyFill="1" applyProtection="1">
      <protection locked="0"/>
    </xf>
    <xf numFmtId="0" fontId="0" fillId="0" borderId="0" xfId="0" quotePrefix="1" applyFill="1" applyBorder="1" applyProtection="1">
      <protection locked="0"/>
    </xf>
    <xf numFmtId="0" fontId="0" fillId="0" borderId="0" xfId="0" applyFill="1" applyAlignment="1" applyProtection="1">
      <protection locked="0"/>
    </xf>
    <xf numFmtId="0" fontId="0" fillId="0" borderId="0" xfId="0" applyFill="1" applyAlignment="1" applyProtection="1">
      <alignment vertical="center" wrapText="1"/>
      <protection locked="0"/>
    </xf>
    <xf numFmtId="0" fontId="0" fillId="0" borderId="0" xfId="0" applyFill="1" applyBorder="1" applyAlignment="1" applyProtection="1">
      <protection locked="0"/>
    </xf>
    <xf numFmtId="0" fontId="0" fillId="0" borderId="0" xfId="0" applyFill="1" applyAlignment="1" applyProtection="1">
      <alignment wrapText="1"/>
      <protection locked="0"/>
    </xf>
    <xf numFmtId="0" fontId="0" fillId="2" borderId="0" xfId="0" applyFill="1" applyProtection="1">
      <protection locked="0"/>
    </xf>
    <xf numFmtId="0" fontId="0" fillId="0" borderId="0" xfId="0" quotePrefix="1" applyProtection="1">
      <protection locked="0"/>
    </xf>
    <xf numFmtId="0" fontId="0" fillId="4" borderId="0" xfId="0" applyFill="1" applyProtection="1">
      <protection hidden="1"/>
    </xf>
    <xf numFmtId="0" fontId="0" fillId="0" borderId="0" xfId="0" applyProtection="1">
      <protection hidden="1"/>
    </xf>
    <xf numFmtId="0" fontId="0" fillId="4" borderId="0" xfId="0" applyFill="1" applyBorder="1" applyProtection="1">
      <protection hidden="1"/>
    </xf>
    <xf numFmtId="0" fontId="6" fillId="4" borderId="1" xfId="0" applyFont="1" applyFill="1" applyBorder="1" applyAlignment="1" applyProtection="1">
      <alignment horizontal="left" indent="1"/>
      <protection hidden="1"/>
    </xf>
    <xf numFmtId="0" fontId="0" fillId="4" borderId="1" xfId="0" applyFont="1" applyFill="1" applyBorder="1" applyProtection="1">
      <protection hidden="1"/>
    </xf>
    <xf numFmtId="0" fontId="1" fillId="4" borderId="0" xfId="0" applyFont="1" applyFill="1" applyProtection="1">
      <protection hidden="1"/>
    </xf>
    <xf numFmtId="0" fontId="0" fillId="4" borderId="0" xfId="0" applyFont="1" applyFill="1" applyAlignment="1" applyProtection="1">
      <alignment horizontal="left" vertical="center"/>
      <protection hidden="1"/>
    </xf>
    <xf numFmtId="0" fontId="19" fillId="4" borderId="0" xfId="1" applyFont="1" applyFill="1" applyProtection="1">
      <protection hidden="1"/>
    </xf>
    <xf numFmtId="0" fontId="17" fillId="4" borderId="0" xfId="1" applyFont="1" applyFill="1" applyProtection="1">
      <protection hidden="1"/>
    </xf>
    <xf numFmtId="0" fontId="0" fillId="4" borderId="0" xfId="0" applyFont="1" applyFill="1" applyProtection="1">
      <protection hidden="1"/>
    </xf>
    <xf numFmtId="0" fontId="5" fillId="4" borderId="0" xfId="0" applyFont="1" applyFill="1" applyProtection="1">
      <protection hidden="1"/>
    </xf>
    <xf numFmtId="0" fontId="0" fillId="4" borderId="0" xfId="0" applyFill="1" applyBorder="1" applyAlignment="1" applyProtection="1">
      <alignment vertical="center" wrapText="1"/>
      <protection hidden="1"/>
    </xf>
    <xf numFmtId="0" fontId="0" fillId="4" borderId="0" xfId="0" applyFill="1" applyBorder="1" applyAlignment="1" applyProtection="1">
      <alignment horizontal="left" vertical="top" wrapText="1"/>
      <protection hidden="1"/>
    </xf>
    <xf numFmtId="0" fontId="0" fillId="4" borderId="0" xfId="0" applyFill="1" applyAlignment="1" applyProtection="1">
      <protection hidden="1"/>
    </xf>
    <xf numFmtId="0" fontId="0" fillId="4" borderId="0" xfId="0" applyFill="1" applyAlignment="1" applyProtection="1">
      <alignment vertical="center" wrapText="1"/>
      <protection hidden="1"/>
    </xf>
    <xf numFmtId="0" fontId="0" fillId="4" borderId="0" xfId="0" applyFill="1" applyAlignment="1" applyProtection="1">
      <alignment vertical="top"/>
      <protection hidden="1"/>
    </xf>
    <xf numFmtId="0" fontId="0" fillId="4" borderId="0" xfId="0" applyFill="1" applyAlignment="1" applyProtection="1">
      <alignment horizontal="left" vertical="center" wrapText="1"/>
      <protection hidden="1"/>
    </xf>
    <xf numFmtId="0" fontId="0" fillId="4" borderId="0" xfId="0" applyFill="1" applyAlignment="1" applyProtection="1">
      <alignment horizontal="center" vertical="center"/>
      <protection hidden="1"/>
    </xf>
    <xf numFmtId="0" fontId="0" fillId="4" borderId="0" xfId="0" applyFill="1" applyAlignment="1" applyProtection="1">
      <alignment horizontal="left" vertical="top" wrapText="1"/>
      <protection hidden="1"/>
    </xf>
    <xf numFmtId="0" fontId="0" fillId="4" borderId="0" xfId="0" applyFill="1" applyAlignment="1" applyProtection="1">
      <alignment vertical="top" wrapText="1"/>
      <protection hidden="1"/>
    </xf>
    <xf numFmtId="0" fontId="0" fillId="4" borderId="0" xfId="0" applyFill="1" applyAlignment="1" applyProtection="1">
      <alignment horizontal="center" vertical="center" wrapText="1"/>
      <protection hidden="1"/>
    </xf>
    <xf numFmtId="0" fontId="0" fillId="4" borderId="0" xfId="0" applyFill="1" applyAlignment="1" applyProtection="1">
      <alignment horizontal="center" wrapText="1"/>
      <protection hidden="1"/>
    </xf>
    <xf numFmtId="0" fontId="0" fillId="4" borderId="0" xfId="0" applyFill="1" applyAlignment="1" applyProtection="1">
      <alignment horizontal="left" vertical="top" wrapText="1" indent="1"/>
      <protection hidden="1"/>
    </xf>
    <xf numFmtId="0" fontId="7" fillId="4" borderId="0" xfId="0" applyFont="1" applyFill="1" applyAlignment="1" applyProtection="1">
      <alignment horizontal="left" vertical="center" wrapText="1" indent="1"/>
      <protection hidden="1"/>
    </xf>
    <xf numFmtId="0" fontId="0" fillId="4" borderId="0" xfId="0" applyFill="1" applyAlignment="1" applyProtection="1">
      <alignment horizontal="left" indent="1"/>
      <protection hidden="1"/>
    </xf>
    <xf numFmtId="0" fontId="0" fillId="4" borderId="0" xfId="0" applyFill="1" applyAlignment="1" applyProtection="1">
      <alignment horizontal="left" wrapText="1" indent="1"/>
      <protection hidden="1"/>
    </xf>
    <xf numFmtId="0" fontId="3" fillId="4" borderId="0" xfId="1" applyFill="1" applyProtection="1">
      <protection hidden="1"/>
    </xf>
    <xf numFmtId="0" fontId="1" fillId="4" borderId="0" xfId="0" applyFont="1" applyFill="1" applyAlignment="1" applyProtection="1">
      <alignment vertical="top" wrapText="1"/>
      <protection hidden="1"/>
    </xf>
    <xf numFmtId="0" fontId="0" fillId="4" borderId="0" xfId="0" applyFont="1" applyFill="1" applyBorder="1" applyAlignment="1" applyProtection="1">
      <alignment horizontal="center" vertical="center" wrapText="1"/>
      <protection hidden="1"/>
    </xf>
    <xf numFmtId="0" fontId="0" fillId="4" borderId="0" xfId="0" applyFont="1" applyFill="1" applyBorder="1" applyAlignment="1" applyProtection="1">
      <alignment vertical="center" wrapText="1"/>
      <protection hidden="1"/>
    </xf>
    <xf numFmtId="0" fontId="1" fillId="4" borderId="0" xfId="0" applyFont="1" applyFill="1" applyBorder="1" applyAlignment="1" applyProtection="1">
      <alignment vertical="top" wrapText="1"/>
      <protection hidden="1"/>
    </xf>
    <xf numFmtId="0" fontId="1" fillId="4" borderId="0" xfId="0" applyFont="1" applyFill="1" applyAlignment="1" applyProtection="1">
      <alignment horizontal="center" vertical="top" wrapText="1"/>
      <protection hidden="1"/>
    </xf>
    <xf numFmtId="0" fontId="0" fillId="4" borderId="15" xfId="0" applyFill="1" applyBorder="1" applyProtection="1">
      <protection hidden="1"/>
    </xf>
    <xf numFmtId="0" fontId="0" fillId="5" borderId="5" xfId="0" applyFill="1" applyBorder="1" applyAlignment="1" applyProtection="1">
      <alignment horizontal="left" indent="1"/>
      <protection hidden="1"/>
    </xf>
    <xf numFmtId="0" fontId="0" fillId="5" borderId="3" xfId="0" applyFill="1" applyBorder="1" applyProtection="1">
      <protection hidden="1"/>
    </xf>
    <xf numFmtId="0" fontId="0" fillId="5" borderId="6" xfId="0" applyFill="1" applyBorder="1" applyProtection="1">
      <protection hidden="1"/>
    </xf>
    <xf numFmtId="0" fontId="0" fillId="5" borderId="12" xfId="0" applyFill="1" applyBorder="1" applyAlignment="1" applyProtection="1">
      <alignment horizontal="left" indent="1"/>
      <protection hidden="1"/>
    </xf>
    <xf numFmtId="0" fontId="0" fillId="5" borderId="0" xfId="0" applyFill="1" applyBorder="1" applyProtection="1">
      <protection hidden="1"/>
    </xf>
    <xf numFmtId="0" fontId="0" fillId="5" borderId="13" xfId="0" applyFill="1" applyBorder="1" applyProtection="1">
      <protection hidden="1"/>
    </xf>
    <xf numFmtId="0" fontId="0" fillId="5" borderId="7" xfId="0" applyFill="1" applyBorder="1" applyAlignment="1" applyProtection="1">
      <alignment horizontal="left" indent="1"/>
      <protection hidden="1"/>
    </xf>
    <xf numFmtId="0" fontId="0" fillId="5" borderId="4" xfId="0" applyFill="1" applyBorder="1" applyProtection="1">
      <protection hidden="1"/>
    </xf>
    <xf numFmtId="0" fontId="0" fillId="5" borderId="8" xfId="0" applyFill="1" applyBorder="1" applyProtection="1">
      <protection hidden="1"/>
    </xf>
    <xf numFmtId="0" fontId="0" fillId="4" borderId="0" xfId="0" applyFont="1" applyFill="1" applyBorder="1" applyAlignment="1" applyProtection="1">
      <alignment horizontal="center" vertical="center" wrapText="1"/>
      <protection locked="0" hidden="1"/>
    </xf>
    <xf numFmtId="0" fontId="0" fillId="4" borderId="0" xfId="0" applyFill="1" applyProtection="1">
      <protection locked="0" hidden="1"/>
    </xf>
    <xf numFmtId="0" fontId="0" fillId="4" borderId="3" xfId="0" applyFill="1" applyBorder="1" applyProtection="1">
      <protection hidden="1"/>
    </xf>
    <xf numFmtId="0" fontId="0" fillId="4" borderId="14" xfId="0" applyFill="1" applyBorder="1" applyProtection="1">
      <protection hidden="1"/>
    </xf>
    <xf numFmtId="0" fontId="6" fillId="3" borderId="1" xfId="0" applyFont="1" applyFill="1" applyBorder="1" applyProtection="1">
      <protection hidden="1"/>
    </xf>
    <xf numFmtId="0" fontId="0" fillId="3" borderId="1" xfId="0" applyFill="1" applyBorder="1" applyProtection="1">
      <protection hidden="1"/>
    </xf>
    <xf numFmtId="0" fontId="0" fillId="4" borderId="12" xfId="0" applyFill="1" applyBorder="1" applyProtection="1">
      <protection hidden="1"/>
    </xf>
    <xf numFmtId="0" fontId="7" fillId="3" borderId="0" xfId="0" applyFont="1" applyFill="1" applyBorder="1" applyAlignment="1" applyProtection="1">
      <alignment horizontal="left" vertical="top" wrapText="1"/>
      <protection hidden="1"/>
    </xf>
    <xf numFmtId="0" fontId="1" fillId="3" borderId="0" xfId="0" applyFont="1" applyFill="1" applyProtection="1">
      <protection hidden="1"/>
    </xf>
    <xf numFmtId="0" fontId="0" fillId="3" borderId="0" xfId="0" applyFill="1" applyProtection="1">
      <protection hidden="1"/>
    </xf>
    <xf numFmtId="0" fontId="11" fillId="3" borderId="0" xfId="0" applyFont="1" applyFill="1" applyAlignment="1" applyProtection="1">
      <alignment vertical="center" wrapText="1"/>
      <protection hidden="1"/>
    </xf>
    <xf numFmtId="0" fontId="0" fillId="3" borderId="0" xfId="0" applyFont="1" applyFill="1" applyAlignment="1" applyProtection="1">
      <alignment vertical="top"/>
      <protection hidden="1"/>
    </xf>
    <xf numFmtId="0" fontId="14" fillId="0" borderId="0" xfId="0" applyFont="1" applyProtection="1">
      <protection hidden="1"/>
    </xf>
    <xf numFmtId="0" fontId="4" fillId="3" borderId="0" xfId="0" applyFont="1" applyFill="1" applyBorder="1" applyAlignment="1" applyProtection="1">
      <alignment vertical="center"/>
      <protection hidden="1"/>
    </xf>
    <xf numFmtId="0" fontId="10" fillId="3" borderId="0" xfId="0" applyFont="1" applyFill="1" applyAlignment="1" applyProtection="1">
      <alignment vertical="top" wrapText="1"/>
      <protection hidden="1"/>
    </xf>
    <xf numFmtId="0" fontId="7" fillId="3" borderId="0" xfId="0" applyFont="1" applyFill="1" applyAlignment="1" applyProtection="1">
      <alignment vertical="center" wrapText="1"/>
      <protection hidden="1"/>
    </xf>
    <xf numFmtId="0" fontId="7" fillId="3" borderId="0" xfId="0" applyFont="1" applyFill="1" applyBorder="1" applyAlignment="1" applyProtection="1">
      <alignment vertical="center" wrapText="1"/>
      <protection hidden="1"/>
    </xf>
    <xf numFmtId="0" fontId="13" fillId="3" borderId="1" xfId="0" applyFont="1" applyFill="1" applyBorder="1" applyAlignment="1" applyProtection="1">
      <alignment horizontal="left" indent="1"/>
      <protection hidden="1"/>
    </xf>
    <xf numFmtId="0" fontId="1" fillId="3" borderId="1" xfId="0" applyFont="1" applyFill="1" applyBorder="1" applyProtection="1">
      <protection hidden="1"/>
    </xf>
    <xf numFmtId="0" fontId="7" fillId="3" borderId="0" xfId="0" applyFont="1" applyFill="1" applyProtection="1">
      <protection hidden="1"/>
    </xf>
    <xf numFmtId="0" fontId="7" fillId="3" borderId="0" xfId="0" applyFont="1" applyFill="1" applyAlignment="1" applyProtection="1">
      <alignment horizontal="left" vertical="center" wrapText="1"/>
      <protection hidden="1"/>
    </xf>
    <xf numFmtId="14" fontId="0" fillId="0" borderId="0" xfId="0" applyNumberFormat="1" applyProtection="1">
      <protection hidden="1"/>
    </xf>
    <xf numFmtId="14" fontId="7" fillId="3" borderId="0" xfId="0" applyNumberFormat="1" applyFont="1" applyFill="1" applyAlignment="1" applyProtection="1">
      <alignment horizontal="left" vertical="top"/>
      <protection hidden="1"/>
    </xf>
    <xf numFmtId="0" fontId="7" fillId="3" borderId="0" xfId="0" applyFont="1" applyFill="1" applyAlignment="1" applyProtection="1">
      <alignment horizontal="left" vertical="center"/>
      <protection hidden="1"/>
    </xf>
    <xf numFmtId="0" fontId="15" fillId="3" borderId="0" xfId="0" applyFont="1" applyFill="1" applyProtection="1">
      <protection hidden="1"/>
    </xf>
    <xf numFmtId="0" fontId="0" fillId="3" borderId="0" xfId="0" applyFill="1" applyBorder="1" applyProtection="1">
      <protection hidden="1"/>
    </xf>
    <xf numFmtId="0" fontId="0" fillId="0" borderId="0" xfId="0" applyFill="1" applyProtection="1">
      <protection locked="0" hidden="1"/>
    </xf>
    <xf numFmtId="0" fontId="8" fillId="0" borderId="0" xfId="0" applyFont="1" applyFill="1" applyProtection="1">
      <protection locked="0"/>
    </xf>
    <xf numFmtId="0" fontId="4" fillId="0" borderId="0" xfId="0" applyFont="1" applyFill="1" applyAlignment="1" applyProtection="1">
      <alignment vertical="center" wrapText="1"/>
      <protection locked="0"/>
    </xf>
    <xf numFmtId="0" fontId="2" fillId="0" borderId="0" xfId="0" applyFont="1" applyFill="1" applyAlignment="1" applyProtection="1">
      <alignment vertical="center"/>
      <protection locked="0"/>
    </xf>
    <xf numFmtId="0" fontId="3" fillId="0" borderId="0" xfId="1" applyFill="1" applyAlignment="1" applyProtection="1">
      <alignment vertical="center"/>
      <protection locked="0"/>
    </xf>
    <xf numFmtId="0" fontId="0" fillId="0" borderId="0" xfId="0" applyFill="1" applyAlignment="1" applyProtection="1">
      <alignment vertical="top"/>
      <protection locked="0"/>
    </xf>
    <xf numFmtId="0" fontId="5" fillId="0" borderId="0" xfId="0" applyFont="1" applyFill="1" applyAlignment="1" applyProtection="1">
      <alignment vertical="center"/>
      <protection locked="0" hidden="1"/>
    </xf>
    <xf numFmtId="0" fontId="0" fillId="0" borderId="0" xfId="0" applyFill="1" applyAlignment="1" applyProtection="1">
      <alignment wrapText="1"/>
      <protection locked="0" hidden="1"/>
    </xf>
    <xf numFmtId="0" fontId="0" fillId="0" borderId="0" xfId="0" applyFill="1" applyAlignment="1" applyProtection="1">
      <alignment vertical="top" wrapText="1"/>
      <protection locked="0" hidden="1"/>
    </xf>
    <xf numFmtId="0" fontId="0" fillId="2" borderId="0" xfId="0" applyFill="1" applyBorder="1" applyProtection="1">
      <protection locked="0"/>
    </xf>
    <xf numFmtId="0" fontId="0" fillId="4" borderId="0" xfId="0" applyFill="1" applyAlignment="1" applyProtection="1">
      <alignment horizontal="left" vertical="top" wrapText="1"/>
      <protection hidden="1"/>
    </xf>
    <xf numFmtId="0" fontId="0" fillId="6" borderId="0" xfId="0" applyFill="1" applyAlignment="1" applyProtection="1">
      <protection locked="0"/>
    </xf>
    <xf numFmtId="0" fontId="0" fillId="6" borderId="0" xfId="0" applyFill="1" applyProtection="1">
      <protection locked="0"/>
    </xf>
    <xf numFmtId="0" fontId="0" fillId="6" borderId="0" xfId="0" applyFill="1" applyBorder="1" applyProtection="1">
      <protection locked="0"/>
    </xf>
    <xf numFmtId="0" fontId="20" fillId="0" borderId="0" xfId="0" applyFont="1" applyFill="1" applyAlignment="1">
      <alignment horizontal="right" vertical="top"/>
    </xf>
    <xf numFmtId="0" fontId="21" fillId="0" borderId="0" xfId="0" applyFont="1" applyFill="1" applyAlignment="1">
      <alignment horizontal="left" vertical="top"/>
    </xf>
    <xf numFmtId="0" fontId="0" fillId="4" borderId="0" xfId="0" applyFont="1" applyFill="1" applyBorder="1" applyAlignment="1" applyProtection="1">
      <alignment horizontal="left" vertical="center" wrapText="1" indent="1"/>
      <protection locked="0" hidden="1"/>
    </xf>
    <xf numFmtId="0" fontId="0" fillId="4" borderId="0" xfId="0" applyFont="1" applyFill="1" applyBorder="1" applyAlignment="1" applyProtection="1">
      <alignment horizontal="center" vertical="center" wrapText="1"/>
      <protection locked="0" hidden="1"/>
    </xf>
    <xf numFmtId="0" fontId="0" fillId="6" borderId="0" xfId="0" applyFill="1" applyAlignment="1" applyProtection="1">
      <alignment wrapText="1"/>
      <protection locked="0"/>
    </xf>
    <xf numFmtId="0" fontId="1" fillId="4" borderId="0" xfId="0" applyFont="1" applyFill="1" applyBorder="1" applyAlignment="1" applyProtection="1">
      <alignment horizontal="left" vertical="top"/>
      <protection hidden="1"/>
    </xf>
    <xf numFmtId="0" fontId="0" fillId="4" borderId="0" xfId="0" applyFill="1" applyBorder="1" applyAlignment="1" applyProtection="1">
      <alignment horizontal="left" vertical="top" wrapText="1" indent="1"/>
      <protection hidden="1"/>
    </xf>
    <xf numFmtId="0" fontId="0" fillId="4" borderId="0" xfId="0" applyFill="1" applyBorder="1" applyAlignment="1" applyProtection="1">
      <alignment horizontal="center" wrapText="1"/>
      <protection hidden="1"/>
    </xf>
    <xf numFmtId="0" fontId="7" fillId="4" borderId="0" xfId="0" applyFont="1" applyFill="1" applyAlignment="1" applyProtection="1">
      <alignment vertical="center" wrapText="1"/>
      <protection hidden="1"/>
    </xf>
    <xf numFmtId="0" fontId="0" fillId="4" borderId="0" xfId="0" applyFont="1" applyFill="1" applyBorder="1" applyAlignment="1" applyProtection="1">
      <alignment vertical="center" wrapText="1"/>
      <protection locked="0" hidden="1"/>
    </xf>
    <xf numFmtId="0" fontId="1" fillId="4" borderId="0" xfId="0" applyFont="1" applyFill="1" applyAlignment="1" applyProtection="1">
      <alignment horizontal="left" vertical="top" indent="1"/>
      <protection hidden="1"/>
    </xf>
    <xf numFmtId="0" fontId="7" fillId="3" borderId="0" xfId="0" applyFont="1" applyFill="1" applyAlignment="1" applyProtection="1">
      <alignment horizontal="left" indent="1"/>
      <protection hidden="1"/>
    </xf>
    <xf numFmtId="0" fontId="18" fillId="4" borderId="0" xfId="0" applyFont="1" applyFill="1" applyAlignment="1" applyProtection="1">
      <alignment vertical="center"/>
      <protection hidden="1"/>
    </xf>
    <xf numFmtId="0" fontId="3" fillId="4" borderId="0" xfId="1" applyFill="1" applyProtection="1">
      <protection locked="0" hidden="1"/>
    </xf>
    <xf numFmtId="0" fontId="0" fillId="4" borderId="16" xfId="0" applyFill="1" applyBorder="1" applyProtection="1">
      <protection hidden="1"/>
    </xf>
    <xf numFmtId="0" fontId="0" fillId="0" borderId="0" xfId="0" applyFill="1" applyProtection="1">
      <protection hidden="1"/>
    </xf>
    <xf numFmtId="0" fontId="5" fillId="0" borderId="0" xfId="0" applyFont="1" applyFill="1" applyBorder="1" applyAlignment="1" applyProtection="1">
      <alignment wrapText="1"/>
      <protection hidden="1"/>
    </xf>
    <xf numFmtId="0" fontId="0" fillId="0" borderId="0" xfId="0" applyFill="1" applyAlignment="1" applyProtection="1">
      <alignment vertical="center" wrapText="1"/>
      <protection hidden="1"/>
    </xf>
    <xf numFmtId="0" fontId="0" fillId="4" borderId="5" xfId="0" applyFill="1" applyBorder="1" applyAlignment="1" applyProtection="1">
      <alignment horizontal="left" vertical="center" wrapText="1" indent="1"/>
      <protection locked="0" hidden="1"/>
    </xf>
    <xf numFmtId="0" fontId="0" fillId="4" borderId="3" xfId="0" applyFill="1" applyBorder="1" applyAlignment="1" applyProtection="1">
      <alignment horizontal="left" vertical="center" wrapText="1" indent="1"/>
      <protection locked="0" hidden="1"/>
    </xf>
    <xf numFmtId="0" fontId="0" fillId="4" borderId="6" xfId="0" applyFill="1" applyBorder="1" applyAlignment="1" applyProtection="1">
      <alignment horizontal="left" vertical="center" wrapText="1" indent="1"/>
      <protection locked="0" hidden="1"/>
    </xf>
    <xf numFmtId="0" fontId="0" fillId="4" borderId="12" xfId="0" applyFill="1" applyBorder="1" applyAlignment="1" applyProtection="1">
      <alignment horizontal="left" vertical="center" wrapText="1" indent="1"/>
      <protection locked="0" hidden="1"/>
    </xf>
    <xf numFmtId="0" fontId="0" fillId="4" borderId="0" xfId="0" applyFill="1" applyBorder="1" applyAlignment="1" applyProtection="1">
      <alignment horizontal="left" vertical="center" wrapText="1" indent="1"/>
      <protection locked="0" hidden="1"/>
    </xf>
    <xf numFmtId="0" fontId="0" fillId="4" borderId="13" xfId="0" applyFill="1" applyBorder="1" applyAlignment="1" applyProtection="1">
      <alignment horizontal="left" vertical="center" wrapText="1" indent="1"/>
      <protection locked="0" hidden="1"/>
    </xf>
    <xf numFmtId="0" fontId="0" fillId="4" borderId="7" xfId="0" applyFill="1" applyBorder="1" applyAlignment="1" applyProtection="1">
      <alignment horizontal="left" vertical="center" wrapText="1" indent="1"/>
      <protection locked="0" hidden="1"/>
    </xf>
    <xf numFmtId="0" fontId="0" fillId="4" borderId="4" xfId="0" applyFill="1" applyBorder="1" applyAlignment="1" applyProtection="1">
      <alignment horizontal="left" vertical="center" wrapText="1" indent="1"/>
      <protection locked="0" hidden="1"/>
    </xf>
    <xf numFmtId="0" fontId="0" fillId="4" borderId="8" xfId="0" applyFill="1" applyBorder="1" applyAlignment="1" applyProtection="1">
      <alignment horizontal="left" vertical="center" wrapText="1" indent="1"/>
      <protection locked="0" hidden="1"/>
    </xf>
    <xf numFmtId="0" fontId="0" fillId="4" borderId="0" xfId="0" applyFill="1" applyAlignment="1" applyProtection="1">
      <alignment horizontal="left" vertical="center" wrapText="1" indent="1"/>
      <protection hidden="1"/>
    </xf>
    <xf numFmtId="0" fontId="1" fillId="4" borderId="0" xfId="0" applyFont="1" applyFill="1" applyAlignment="1" applyProtection="1">
      <alignment horizontal="center" vertical="center" wrapText="1"/>
      <protection hidden="1"/>
    </xf>
    <xf numFmtId="0" fontId="0" fillId="4" borderId="5" xfId="0" applyFill="1" applyBorder="1" applyAlignment="1" applyProtection="1">
      <alignment horizontal="center" vertical="center" wrapText="1"/>
      <protection hidden="1"/>
    </xf>
    <xf numFmtId="0" fontId="0" fillId="4" borderId="12" xfId="0" applyFill="1" applyBorder="1" applyAlignment="1" applyProtection="1">
      <alignment horizontal="center" vertical="center" wrapText="1"/>
      <protection hidden="1"/>
    </xf>
    <xf numFmtId="0" fontId="0" fillId="4" borderId="7" xfId="0" applyFill="1" applyBorder="1" applyAlignment="1" applyProtection="1">
      <alignment horizontal="center" vertical="center" wrapText="1"/>
      <protection hidden="1"/>
    </xf>
    <xf numFmtId="0" fontId="0" fillId="4" borderId="3" xfId="0" applyFill="1" applyBorder="1" applyAlignment="1" applyProtection="1">
      <alignment horizontal="left" vertical="center" wrapText="1" indent="1"/>
      <protection hidden="1"/>
    </xf>
    <xf numFmtId="0" fontId="0" fillId="4" borderId="6" xfId="0" applyFill="1" applyBorder="1" applyAlignment="1" applyProtection="1">
      <alignment horizontal="left" vertical="center" wrapText="1" indent="1"/>
      <protection hidden="1"/>
    </xf>
    <xf numFmtId="0" fontId="0" fillId="4" borderId="0" xfId="0" applyFill="1" applyBorder="1" applyAlignment="1" applyProtection="1">
      <alignment horizontal="left" vertical="center" wrapText="1" indent="1"/>
      <protection hidden="1"/>
    </xf>
    <xf numFmtId="0" fontId="0" fillId="4" borderId="13" xfId="0" applyFill="1" applyBorder="1" applyAlignment="1" applyProtection="1">
      <alignment horizontal="left" vertical="center" wrapText="1" indent="1"/>
      <protection hidden="1"/>
    </xf>
    <xf numFmtId="0" fontId="0" fillId="4" borderId="4" xfId="0" applyFill="1" applyBorder="1" applyAlignment="1" applyProtection="1">
      <alignment horizontal="left" vertical="center" wrapText="1" indent="1"/>
      <protection hidden="1"/>
    </xf>
    <xf numFmtId="0" fontId="0" fillId="4" borderId="8" xfId="0" applyFill="1" applyBorder="1" applyAlignment="1" applyProtection="1">
      <alignment horizontal="left" vertical="center" wrapText="1" indent="1"/>
      <protection hidden="1"/>
    </xf>
    <xf numFmtId="0" fontId="12" fillId="3" borderId="0" xfId="0" applyFont="1" applyFill="1" applyBorder="1" applyAlignment="1" applyProtection="1">
      <alignment horizontal="left" vertical="center" wrapText="1"/>
      <protection hidden="1"/>
    </xf>
    <xf numFmtId="0" fontId="12" fillId="3" borderId="0" xfId="0" applyFont="1" applyFill="1" applyBorder="1" applyAlignment="1" applyProtection="1">
      <alignment horizontal="center" vertical="center" wrapText="1"/>
      <protection hidden="1"/>
    </xf>
    <xf numFmtId="0" fontId="12" fillId="3" borderId="0" xfId="0" applyFont="1" applyFill="1" applyBorder="1" applyAlignment="1" applyProtection="1">
      <alignment horizontal="left" vertical="center" wrapText="1" indent="1"/>
      <protection hidden="1"/>
    </xf>
    <xf numFmtId="0" fontId="0" fillId="5" borderId="5" xfId="0" applyFill="1" applyBorder="1" applyAlignment="1" applyProtection="1">
      <alignment horizontal="left" vertical="center" wrapText="1" indent="1"/>
      <protection hidden="1"/>
    </xf>
    <xf numFmtId="0" fontId="0" fillId="5" borderId="3" xfId="0" applyFill="1" applyBorder="1" applyAlignment="1" applyProtection="1">
      <alignment horizontal="left" vertical="center" wrapText="1" indent="1"/>
      <protection hidden="1"/>
    </xf>
    <xf numFmtId="0" fontId="0" fillId="5" borderId="6" xfId="0" applyFill="1" applyBorder="1" applyAlignment="1" applyProtection="1">
      <alignment horizontal="left" vertical="center" wrapText="1" indent="1"/>
      <protection hidden="1"/>
    </xf>
    <xf numFmtId="0" fontId="0" fillId="5" borderId="7" xfId="0" applyFill="1" applyBorder="1" applyAlignment="1" applyProtection="1">
      <alignment horizontal="left" vertical="center" wrapText="1" indent="1"/>
      <protection hidden="1"/>
    </xf>
    <xf numFmtId="0" fontId="0" fillId="5" borderId="4" xfId="0" applyFill="1" applyBorder="1" applyAlignment="1" applyProtection="1">
      <alignment horizontal="left" vertical="center" wrapText="1" indent="1"/>
      <protection hidden="1"/>
    </xf>
    <xf numFmtId="0" fontId="0" fillId="5" borderId="8" xfId="0" applyFill="1" applyBorder="1" applyAlignment="1" applyProtection="1">
      <alignment horizontal="left" vertical="center" wrapText="1" indent="1"/>
      <protection hidden="1"/>
    </xf>
    <xf numFmtId="0" fontId="0" fillId="3" borderId="9" xfId="0" applyFont="1" applyFill="1" applyBorder="1" applyAlignment="1" applyProtection="1">
      <alignment horizontal="left" vertical="center"/>
      <protection locked="0" hidden="1"/>
    </xf>
    <xf numFmtId="0" fontId="0" fillId="3" borderId="10" xfId="0" applyFont="1" applyFill="1" applyBorder="1" applyAlignment="1" applyProtection="1">
      <alignment horizontal="left" vertical="center"/>
      <protection locked="0" hidden="1"/>
    </xf>
    <xf numFmtId="0" fontId="0" fillId="3" borderId="11" xfId="0" applyFont="1" applyFill="1" applyBorder="1" applyAlignment="1" applyProtection="1">
      <alignment horizontal="left" vertical="center"/>
      <protection locked="0" hidden="1"/>
    </xf>
    <xf numFmtId="0" fontId="0" fillId="4" borderId="0" xfId="0" applyFont="1" applyFill="1" applyBorder="1" applyAlignment="1" applyProtection="1">
      <alignment horizontal="left" vertical="center" wrapText="1" indent="1"/>
      <protection locked="0" hidden="1"/>
    </xf>
    <xf numFmtId="0" fontId="7" fillId="4" borderId="0" xfId="0" applyFont="1" applyFill="1" applyAlignment="1" applyProtection="1">
      <alignment horizontal="left" wrapText="1" indent="1"/>
      <protection hidden="1"/>
    </xf>
    <xf numFmtId="0" fontId="7" fillId="4" borderId="0" xfId="0" applyFont="1" applyFill="1" applyAlignment="1" applyProtection="1">
      <alignment horizontal="left" vertical="center" wrapText="1" indent="1"/>
      <protection hidden="1"/>
    </xf>
    <xf numFmtId="0" fontId="7" fillId="4" borderId="0" xfId="0" applyFont="1" applyFill="1" applyAlignment="1" applyProtection="1">
      <alignment horizontal="left" vertical="top" wrapText="1" indent="1"/>
      <protection hidden="1"/>
    </xf>
    <xf numFmtId="0" fontId="5" fillId="3" borderId="0" xfId="0" applyFont="1" applyFill="1" applyAlignment="1" applyProtection="1">
      <alignment horizontal="center"/>
      <protection hidden="1"/>
    </xf>
    <xf numFmtId="0" fontId="0" fillId="3" borderId="0" xfId="0" applyFill="1" applyAlignment="1" applyProtection="1">
      <alignment horizontal="center"/>
      <protection hidden="1"/>
    </xf>
    <xf numFmtId="14" fontId="7" fillId="3" borderId="0" xfId="0" applyNumberFormat="1" applyFont="1" applyFill="1" applyAlignment="1" applyProtection="1">
      <alignment horizontal="left"/>
      <protection hidden="1"/>
    </xf>
    <xf numFmtId="0" fontId="7" fillId="3" borderId="0" xfId="0" applyFont="1" applyFill="1" applyAlignment="1" applyProtection="1">
      <alignment horizontal="left" vertical="center" wrapText="1" indent="1"/>
      <protection hidden="1"/>
    </xf>
    <xf numFmtId="0" fontId="5" fillId="3" borderId="1" xfId="0" applyFont="1" applyFill="1" applyBorder="1" applyAlignment="1" applyProtection="1">
      <alignment horizontal="center"/>
      <protection hidden="1"/>
    </xf>
    <xf numFmtId="0" fontId="16" fillId="3" borderId="0" xfId="0" applyFont="1" applyFill="1" applyBorder="1" applyAlignment="1" applyProtection="1">
      <alignment horizontal="left" vertical="top" wrapText="1" indent="1"/>
      <protection hidden="1"/>
    </xf>
    <xf numFmtId="0" fontId="12" fillId="3" borderId="0" xfId="0" applyFont="1" applyFill="1" applyBorder="1" applyAlignment="1" applyProtection="1">
      <alignment horizontal="center" vertical="center"/>
      <protection hidden="1"/>
    </xf>
    <xf numFmtId="0" fontId="12" fillId="3" borderId="0" xfId="0" applyFont="1" applyFill="1" applyBorder="1" applyAlignment="1" applyProtection="1">
      <alignment horizontal="left" vertical="center"/>
      <protection hidden="1"/>
    </xf>
    <xf numFmtId="0" fontId="7" fillId="3" borderId="2" xfId="0" applyFont="1" applyFill="1" applyBorder="1" applyAlignment="1" applyProtection="1">
      <alignment horizontal="left" vertical="top" wrapText="1"/>
      <protection hidden="1"/>
    </xf>
    <xf numFmtId="0" fontId="7" fillId="3" borderId="0" xfId="0" applyFont="1" applyFill="1" applyBorder="1" applyAlignment="1" applyProtection="1">
      <alignment horizontal="left" vertical="top" wrapText="1"/>
      <protection hidden="1"/>
    </xf>
    <xf numFmtId="0" fontId="11" fillId="3" borderId="0" xfId="0" applyFont="1" applyFill="1" applyAlignment="1" applyProtection="1">
      <alignment horizontal="left" vertical="center" wrapText="1"/>
      <protection hidden="1"/>
    </xf>
    <xf numFmtId="0" fontId="10" fillId="3" borderId="0" xfId="0" applyFont="1" applyFill="1" applyAlignment="1" applyProtection="1">
      <alignment horizontal="left" vertical="top" wrapText="1"/>
      <protection hidden="1"/>
    </xf>
    <xf numFmtId="0" fontId="12" fillId="3" borderId="2"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12" fillId="3" borderId="2" xfId="0" applyFont="1" applyFill="1" applyBorder="1" applyAlignment="1" applyProtection="1">
      <alignment horizontal="left" vertical="center" wrapText="1" indent="1"/>
      <protection hidden="1"/>
    </xf>
    <xf numFmtId="0" fontId="12" fillId="3" borderId="1" xfId="0" applyFont="1" applyFill="1" applyBorder="1" applyAlignment="1" applyProtection="1">
      <alignment horizontal="left" vertical="center" wrapText="1" indent="1"/>
      <protection hidden="1"/>
    </xf>
    <xf numFmtId="0" fontId="10" fillId="3" borderId="0" xfId="0" applyFont="1" applyFill="1" applyAlignment="1" applyProtection="1">
      <alignment horizontal="left" vertical="top"/>
      <protection hidden="1"/>
    </xf>
    <xf numFmtId="0" fontId="13" fillId="3" borderId="1" xfId="0" applyFont="1" applyFill="1" applyBorder="1" applyAlignment="1" applyProtection="1">
      <alignment horizontal="left" indent="1"/>
      <protection hidden="1"/>
    </xf>
    <xf numFmtId="0" fontId="13" fillId="3" borderId="1" xfId="0" applyFont="1" applyFill="1" applyBorder="1" applyAlignment="1" applyProtection="1">
      <alignment horizontal="right" indent="1"/>
      <protection hidden="1"/>
    </xf>
    <xf numFmtId="0" fontId="0" fillId="3" borderId="0" xfId="0" applyFont="1" applyFill="1" applyBorder="1" applyAlignment="1" applyProtection="1">
      <alignment horizontal="left"/>
      <protection hidden="1"/>
    </xf>
    <xf numFmtId="0" fontId="15" fillId="3" borderId="0" xfId="0" applyFont="1" applyFill="1" applyBorder="1" applyAlignment="1" applyProtection="1">
      <alignment horizontal="center" vertical="top" wrapText="1"/>
      <protection hidden="1"/>
    </xf>
    <xf numFmtId="0" fontId="0" fillId="4" borderId="0" xfId="0" applyFill="1" applyAlignment="1" applyProtection="1">
      <alignment horizontal="left" vertical="top" wrapText="1" indent="1"/>
      <protection hidden="1"/>
    </xf>
    <xf numFmtId="0" fontId="1" fillId="4" borderId="0" xfId="0" applyFont="1" applyFill="1" applyAlignment="1" applyProtection="1">
      <alignment horizontal="left" vertical="top" wrapText="1" indent="1"/>
      <protection hidden="1"/>
    </xf>
    <xf numFmtId="0" fontId="5" fillId="4" borderId="0" xfId="0" applyFont="1" applyFill="1" applyBorder="1" applyAlignment="1" applyProtection="1">
      <alignment horizontal="left" vertical="top" wrapText="1" indent="1"/>
      <protection hidden="1"/>
    </xf>
    <xf numFmtId="0" fontId="1" fillId="4" borderId="0" xfId="0" applyFont="1" applyFill="1" applyAlignment="1" applyProtection="1">
      <alignment horizontal="center" vertical="top" wrapText="1"/>
      <protection hidden="1"/>
    </xf>
    <xf numFmtId="0" fontId="22" fillId="4" borderId="0" xfId="0" applyFont="1" applyFill="1" applyAlignment="1" applyProtection="1">
      <alignment horizontal="center" vertical="center"/>
      <protection hidden="1"/>
    </xf>
    <xf numFmtId="0" fontId="0" fillId="0" borderId="0" xfId="0" applyFill="1" applyAlignment="1" applyProtection="1">
      <alignment horizontal="center"/>
      <protection locked="0"/>
    </xf>
    <xf numFmtId="0" fontId="0" fillId="4" borderId="0" xfId="0" applyFill="1" applyAlignment="1" applyProtection="1">
      <alignment horizontal="left" vertical="center" wrapText="1"/>
      <protection hidden="1"/>
    </xf>
    <xf numFmtId="0" fontId="0" fillId="0" borderId="5" xfId="0" applyBorder="1" applyAlignment="1" applyProtection="1">
      <alignment horizontal="center" vertical="top"/>
      <protection locked="0" hidden="1"/>
    </xf>
    <xf numFmtId="0" fontId="0" fillId="0" borderId="3" xfId="0" applyBorder="1" applyAlignment="1" applyProtection="1">
      <alignment horizontal="center" vertical="top"/>
      <protection locked="0" hidden="1"/>
    </xf>
    <xf numFmtId="0" fontId="0" fillId="0" borderId="6" xfId="0" applyBorder="1" applyAlignment="1" applyProtection="1">
      <alignment horizontal="center" vertical="top"/>
      <protection locked="0" hidden="1"/>
    </xf>
    <xf numFmtId="0" fontId="0" fillId="0" borderId="12" xfId="0" applyBorder="1" applyAlignment="1" applyProtection="1">
      <alignment horizontal="center" vertical="top"/>
      <protection locked="0" hidden="1"/>
    </xf>
    <xf numFmtId="0" fontId="0" fillId="0" borderId="0" xfId="0" applyBorder="1" applyAlignment="1" applyProtection="1">
      <alignment horizontal="center" vertical="top"/>
      <protection locked="0" hidden="1"/>
    </xf>
    <xf numFmtId="0" fontId="0" fillId="0" borderId="13" xfId="0" applyBorder="1" applyAlignment="1" applyProtection="1">
      <alignment horizontal="center" vertical="top"/>
      <protection locked="0" hidden="1"/>
    </xf>
    <xf numFmtId="0" fontId="0" fillId="0" borderId="7" xfId="0" applyBorder="1" applyAlignment="1" applyProtection="1">
      <alignment horizontal="center" vertical="top"/>
      <protection locked="0" hidden="1"/>
    </xf>
    <xf numFmtId="0" fontId="0" fillId="0" borderId="4" xfId="0" applyBorder="1" applyAlignment="1" applyProtection="1">
      <alignment horizontal="center" vertical="top"/>
      <protection locked="0" hidden="1"/>
    </xf>
    <xf numFmtId="0" fontId="0" fillId="0" borderId="8" xfId="0" applyBorder="1" applyAlignment="1" applyProtection="1">
      <alignment horizontal="center" vertical="top"/>
      <protection locked="0" hidden="1"/>
    </xf>
    <xf numFmtId="0" fontId="0" fillId="4" borderId="0" xfId="0" applyFill="1" applyAlignment="1" applyProtection="1">
      <alignment horizontal="left" vertical="center"/>
      <protection hidden="1"/>
    </xf>
    <xf numFmtId="0" fontId="15" fillId="5" borderId="5" xfId="0" applyFont="1" applyFill="1" applyBorder="1" applyAlignment="1" applyProtection="1">
      <alignment horizontal="left" vertical="center" wrapText="1" indent="1"/>
      <protection hidden="1"/>
    </xf>
    <xf numFmtId="0" fontId="15" fillId="5" borderId="3" xfId="0" applyFont="1" applyFill="1" applyBorder="1" applyAlignment="1" applyProtection="1">
      <alignment horizontal="left" vertical="center" wrapText="1" indent="1"/>
      <protection hidden="1"/>
    </xf>
    <xf numFmtId="0" fontId="15" fillId="5" borderId="6" xfId="0" applyFont="1" applyFill="1" applyBorder="1" applyAlignment="1" applyProtection="1">
      <alignment horizontal="left" vertical="center" wrapText="1" indent="1"/>
      <protection hidden="1"/>
    </xf>
    <xf numFmtId="0" fontId="15" fillId="5" borderId="12" xfId="0" applyFont="1" applyFill="1" applyBorder="1" applyAlignment="1" applyProtection="1">
      <alignment horizontal="left" vertical="center" wrapText="1" indent="1"/>
      <protection hidden="1"/>
    </xf>
    <xf numFmtId="0" fontId="15" fillId="5" borderId="0" xfId="0" applyFont="1" applyFill="1" applyBorder="1" applyAlignment="1" applyProtection="1">
      <alignment horizontal="left" vertical="center" wrapText="1" indent="1"/>
      <protection hidden="1"/>
    </xf>
    <xf numFmtId="0" fontId="15" fillId="5" borderId="13" xfId="0" applyFont="1" applyFill="1" applyBorder="1" applyAlignment="1" applyProtection="1">
      <alignment horizontal="left" vertical="center" wrapText="1" indent="1"/>
      <protection hidden="1"/>
    </xf>
    <xf numFmtId="0" fontId="15" fillId="5" borderId="7" xfId="0" applyFont="1" applyFill="1" applyBorder="1" applyAlignment="1" applyProtection="1">
      <alignment horizontal="left" vertical="center" wrapText="1" indent="1"/>
      <protection hidden="1"/>
    </xf>
    <xf numFmtId="0" fontId="15" fillId="5" borderId="4" xfId="0" applyFont="1" applyFill="1" applyBorder="1" applyAlignment="1" applyProtection="1">
      <alignment horizontal="left" vertical="center" wrapText="1" indent="1"/>
      <protection hidden="1"/>
    </xf>
    <xf numFmtId="0" fontId="15" fillId="5" borderId="8" xfId="0" applyFont="1" applyFill="1" applyBorder="1" applyAlignment="1" applyProtection="1">
      <alignment horizontal="left" vertical="center" wrapText="1" indent="1"/>
      <protection hidden="1"/>
    </xf>
    <xf numFmtId="0" fontId="0" fillId="4" borderId="0" xfId="0" applyFill="1" applyAlignment="1" applyProtection="1">
      <alignment horizontal="left" vertical="top" wrapText="1"/>
      <protection hidden="1"/>
    </xf>
    <xf numFmtId="0" fontId="0" fillId="4" borderId="0" xfId="0" applyFont="1" applyFill="1" applyAlignment="1" applyProtection="1">
      <alignment horizontal="left" vertical="top" wrapText="1"/>
      <protection hidden="1"/>
    </xf>
    <xf numFmtId="0" fontId="23" fillId="4" borderId="0" xfId="0" applyFont="1" applyFill="1" applyAlignment="1" applyProtection="1">
      <alignment horizontal="left" vertical="top" wrapText="1"/>
      <protection hidden="1"/>
    </xf>
  </cellXfs>
  <cellStyles count="2">
    <cellStyle name="Hyperkobling" xfId="1" builtinId="8"/>
    <cellStyle name="Normal" xfId="0" builtinId="0"/>
  </cellStyles>
  <dxfs count="191">
    <dxf>
      <border>
        <left style="thin">
          <color theme="0" tint="-0.499984740745262"/>
        </left>
        <right/>
        <top style="thin">
          <color theme="0" tint="-0.499984740745262"/>
        </top>
        <bottom/>
        <vertical/>
        <horizontal/>
      </border>
    </dxf>
    <dxf>
      <border>
        <left/>
        <right/>
        <top/>
        <bottom style="thin">
          <color theme="0" tint="-0.499984740745262"/>
        </bottom>
        <vertical/>
        <horizontal/>
      </border>
    </dxf>
    <dxf>
      <border>
        <left style="thin">
          <color theme="0"/>
        </left>
        <vertical/>
        <horizontal/>
      </border>
    </dxf>
    <dxf>
      <border>
        <left style="thin">
          <color theme="0"/>
        </left>
        <right/>
        <vertical/>
        <horizontal/>
      </border>
    </dxf>
    <dxf>
      <border>
        <left/>
        <right style="thin">
          <color theme="0" tint="-0.499984740745262"/>
        </right>
        <top/>
        <bottom/>
        <vertical/>
        <horizontal/>
      </border>
    </dxf>
    <dxf>
      <fill>
        <patternFill>
          <bgColor rgb="FFE9F5DB"/>
        </patternFill>
      </fill>
    </dxf>
    <dxf>
      <border>
        <left style="thin">
          <color theme="0" tint="-0.499984740745262"/>
        </left>
        <right/>
        <top/>
        <bottom style="thin">
          <color theme="0"/>
        </bottom>
        <vertical/>
        <horizontal/>
      </border>
    </dxf>
    <dxf>
      <border>
        <top style="thin">
          <color theme="0"/>
        </top>
        <vertical/>
        <horizontal/>
      </border>
    </dxf>
    <dxf>
      <font>
        <u/>
        <color rgb="FF1108BE"/>
      </font>
    </dxf>
    <dxf>
      <fill>
        <patternFill>
          <bgColor rgb="FFE9F5DB"/>
        </patternFill>
      </fill>
      <border>
        <right/>
      </border>
    </dxf>
    <dxf>
      <border>
        <left/>
        <right/>
        <top/>
        <bottom style="thin">
          <color theme="0"/>
        </bottom>
      </border>
    </dxf>
    <dxf>
      <border>
        <left style="thin">
          <color theme="0" tint="-0.499984740745262"/>
        </left>
        <right/>
        <top/>
        <bottom/>
        <vertical/>
        <horizontal/>
      </border>
    </dxf>
    <dxf>
      <fill>
        <patternFill>
          <bgColor rgb="FFE9F5DB"/>
        </patternFill>
      </fill>
      <border>
        <left/>
        <right style="thin">
          <color theme="0"/>
        </right>
        <top style="thin">
          <color theme="0" tint="-0.499984740745262"/>
        </top>
        <bottom style="thin">
          <color theme="0"/>
        </bottom>
        <vertical/>
        <horizontal/>
      </border>
    </dxf>
    <dxf>
      <fill>
        <patternFill>
          <bgColor rgb="FFE9F5DB"/>
        </patternFill>
      </fill>
      <border>
        <left style="thin">
          <color theme="0" tint="-0.499984740745262"/>
        </left>
        <right style="thin">
          <color theme="0" tint="-0.24994659260841701"/>
        </right>
        <top style="thin">
          <color theme="0" tint="-0.499984740745262"/>
        </top>
        <bottom style="thin">
          <color theme="0"/>
        </bottom>
        <vertical/>
        <horizontal/>
      </border>
    </dxf>
    <dxf>
      <fill>
        <patternFill>
          <bgColor rgb="FFE9F5DB"/>
        </patternFill>
      </fill>
      <border>
        <left style="thin">
          <color theme="0" tint="-0.499984740745262"/>
        </left>
        <right style="thin">
          <color theme="0"/>
        </right>
        <top style="thin">
          <color theme="0" tint="-0.499984740745262"/>
        </top>
        <bottom style="thin">
          <color theme="0"/>
        </bottom>
        <vertical/>
        <horizontal/>
      </border>
    </dxf>
    <dxf>
      <fill>
        <patternFill>
          <bgColor theme="0"/>
        </patternFill>
      </fill>
    </dxf>
    <dxf>
      <border>
        <left style="thin">
          <color theme="0"/>
        </left>
        <right/>
        <top/>
        <bottom/>
        <vertical/>
        <horizontal/>
      </border>
    </dxf>
    <dxf>
      <fill>
        <patternFill>
          <bgColor rgb="FFE9F5DB"/>
        </patternFill>
      </fill>
      <border>
        <left/>
        <right/>
        <top/>
        <bottom/>
        <vertical/>
        <horizontal/>
      </border>
    </dxf>
    <dxf>
      <fill>
        <patternFill>
          <bgColor rgb="FFE9F5DB"/>
        </patternFill>
      </fill>
    </dxf>
    <dxf>
      <fill>
        <patternFill>
          <bgColor rgb="FFE9F5DB"/>
        </patternFill>
      </fill>
      <border>
        <left/>
        <right style="thin">
          <color theme="0"/>
        </right>
        <top style="thin">
          <color theme="0" tint="-0.499984740745262"/>
        </top>
        <bottom style="thin">
          <color theme="0"/>
        </bottom>
        <vertical/>
        <horizontal/>
      </border>
    </dxf>
    <dxf>
      <fill>
        <patternFill>
          <bgColor theme="0"/>
        </patternFill>
      </fill>
    </dxf>
    <dxf>
      <fill>
        <patternFill>
          <bgColor theme="0"/>
        </patternFill>
      </fill>
    </dxf>
    <dxf>
      <fill>
        <patternFill>
          <bgColor theme="0"/>
        </patternFill>
      </fill>
      <border>
        <left style="thin">
          <color theme="0" tint="-0.499984740745262"/>
        </left>
        <right style="thin">
          <color theme="0"/>
        </right>
        <top style="thin">
          <color theme="0" tint="-0.499984740745262"/>
        </top>
        <bottom style="thin">
          <color theme="0"/>
        </bottom>
        <vertical/>
        <horizontal/>
      </border>
    </dxf>
    <dxf>
      <fill>
        <patternFill>
          <bgColor theme="0"/>
        </patternFill>
      </fill>
    </dxf>
    <dxf>
      <fill>
        <patternFill>
          <bgColor rgb="FFE9F5DB"/>
        </patternFill>
      </fill>
      <border>
        <left style="thin">
          <color theme="0" tint="-0.24994659260841701"/>
        </left>
        <right style="thin">
          <color theme="0"/>
        </right>
        <top style="thin">
          <color theme="0" tint="-0.499984740745262"/>
        </top>
        <bottom style="thin">
          <color theme="0"/>
        </bottom>
        <vertical/>
        <horizontal/>
      </border>
    </dxf>
    <dxf>
      <font>
        <color rgb="FFD0EBB3"/>
      </font>
      <fill>
        <patternFill>
          <bgColor rgb="FFD0EBB3"/>
        </patternFill>
      </fill>
    </dxf>
    <dxf>
      <fill>
        <patternFill>
          <bgColor rgb="FFE9F5DB"/>
        </patternFill>
      </fill>
      <border>
        <left style="thin">
          <color theme="0" tint="-0.499984740745262"/>
        </left>
        <right style="thin">
          <color theme="0"/>
        </right>
        <top style="thin">
          <color theme="0" tint="-0.499984740745262"/>
        </top>
        <bottom style="thin">
          <color theme="0"/>
        </bottom>
        <vertical/>
        <horizontal/>
      </border>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border>
        <left style="thin">
          <color theme="0" tint="-0.499984740745262"/>
        </left>
        <right style="thin">
          <color theme="0" tint="-0.499984740745262"/>
        </right>
        <top style="thin">
          <color theme="0" tint="-0.499984740745262"/>
        </top>
        <bottom style="thin">
          <color theme="0" tint="-0.499984740745262"/>
        </bottom>
        <vertical/>
        <horizontal/>
      </border>
    </dxf>
    <dxf>
      <border>
        <left style="thin">
          <color theme="0" tint="-0.499984740745262"/>
        </left>
        <right style="thin">
          <color theme="0" tint="-0.499984740745262"/>
        </right>
        <top style="thin">
          <color theme="0" tint="-0.499984740745262"/>
        </top>
        <bottom style="thin">
          <color theme="0" tint="-0.499984740745262"/>
        </bottom>
        <vertical/>
        <horizontal/>
      </border>
    </dxf>
    <dxf>
      <border>
        <left style="thin">
          <color theme="0" tint="-0.499984740745262"/>
        </left>
        <right style="thin">
          <color theme="0" tint="-0.499984740745262"/>
        </right>
        <top style="thin">
          <color theme="0" tint="-0.499984740745262"/>
        </top>
        <bottom style="thin">
          <color theme="0" tint="-0.499984740745262"/>
        </bottom>
        <vertical/>
        <horizontal/>
      </border>
    </dxf>
    <dxf>
      <border>
        <left style="thin">
          <color theme="0" tint="-0.499984740745262"/>
        </left>
        <right style="thin">
          <color theme="0" tint="-0.499984740745262"/>
        </right>
        <top style="thin">
          <color theme="0" tint="-0.499984740745262"/>
        </top>
        <bottom style="thin">
          <color theme="0" tint="-0.499984740745262"/>
        </bottom>
        <vertical/>
        <horizontal/>
      </border>
    </dxf>
    <dxf>
      <border>
        <left style="thin">
          <color theme="0" tint="-0.499984740745262"/>
        </left>
        <right style="thin">
          <color theme="0" tint="-0.499984740745262"/>
        </right>
        <top style="thin">
          <color theme="0" tint="-0.499984740745262"/>
        </top>
        <bottom style="thin">
          <color theme="0" tint="-0.499984740745262"/>
        </bottom>
        <vertical/>
        <horizontal/>
      </border>
    </dxf>
    <dxf>
      <border>
        <left style="thin">
          <color theme="0" tint="-0.499984740745262"/>
        </left>
        <right style="thin">
          <color theme="0" tint="-0.499984740745262"/>
        </right>
        <top style="thin">
          <color theme="0" tint="-0.499984740745262"/>
        </top>
        <bottom style="thin">
          <color theme="0" tint="-0.499984740745262"/>
        </bottom>
        <vertical/>
        <horizontal/>
      </border>
    </dxf>
    <dxf>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0"/>
        </patternFill>
      </fill>
    </dxf>
    <dxf>
      <border>
        <left/>
        <right style="thin">
          <color theme="0" tint="-0.499984740745262"/>
        </right>
        <top style="thin">
          <color theme="0" tint="-0.499984740745262"/>
        </top>
        <bottom style="thin">
          <color theme="0" tint="-0.499984740745262"/>
        </bottom>
        <vertical/>
        <horizontal/>
      </border>
    </dxf>
    <dxf>
      <fill>
        <patternFill>
          <bgColor theme="0"/>
        </patternFill>
      </fill>
    </dxf>
    <dxf>
      <border>
        <left style="thin">
          <color theme="0" tint="-0.499984740745262"/>
        </left>
        <right style="thin">
          <color theme="0" tint="-0.14996795556505021"/>
        </right>
        <top style="thin">
          <color theme="0" tint="-0.499984740745262"/>
        </top>
        <bottom style="thin">
          <color theme="0" tint="-0.499984740745262"/>
        </bottom>
        <vertical/>
        <horizontal/>
      </border>
    </dxf>
    <dxf>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0"/>
        </patternFill>
      </fill>
    </dxf>
    <dxf>
      <border>
        <left/>
        <right style="thin">
          <color theme="0" tint="-0.499984740745262"/>
        </right>
        <top style="thin">
          <color theme="0" tint="-0.499984740745262"/>
        </top>
        <bottom style="thin">
          <color theme="0" tint="-0.499984740745262"/>
        </bottom>
        <vertical/>
        <horizontal/>
      </border>
    </dxf>
    <dxf>
      <fill>
        <patternFill>
          <bgColor rgb="FFE9F5DB"/>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rgb="FFE9F5DB"/>
        </patternFill>
      </fill>
    </dxf>
    <dxf>
      <fill>
        <patternFill>
          <bgColor theme="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rgb="FFE9F5DB"/>
        </patternFill>
      </fill>
    </dxf>
    <dxf>
      <border>
        <bottom style="thin">
          <color theme="0" tint="-0.499984740745262"/>
        </bottom>
        <vertical/>
        <horizontal/>
      </border>
    </dxf>
    <dxf>
      <border>
        <right style="thin">
          <color theme="0" tint="-0.34998626667073579"/>
        </right>
        <vertical/>
        <horizontal/>
      </border>
    </dxf>
    <dxf>
      <border>
        <bottom style="thin">
          <color theme="0"/>
        </bottom>
        <vertical/>
        <horizontal/>
      </border>
    </dxf>
    <dxf>
      <border>
        <left style="thin">
          <color theme="0"/>
        </left>
        <vertical/>
        <horizontal/>
      </border>
    </dxf>
    <dxf>
      <border>
        <left style="thin">
          <color theme="0"/>
        </left>
        <vertical/>
        <horizontal/>
      </border>
    </dxf>
    <dxf>
      <fill>
        <patternFill>
          <bgColor rgb="FFE9F5DB"/>
        </patternFill>
      </fill>
      <border>
        <left/>
        <right style="thin">
          <color theme="0"/>
        </right>
        <top style="thin">
          <color theme="0" tint="-0.499984740745262"/>
        </top>
        <bottom style="thin">
          <color theme="0"/>
        </bottom>
        <vertical/>
        <horizontal/>
      </border>
    </dxf>
    <dxf>
      <fill>
        <patternFill>
          <bgColor rgb="FFE9F5DB"/>
        </patternFill>
      </fill>
      <border>
        <left style="thin">
          <color theme="0" tint="-0.499984740745262"/>
        </left>
        <right style="thin">
          <color theme="0" tint="-0.24994659260841701"/>
        </right>
        <top style="thin">
          <color theme="0" tint="-0.499984740745262"/>
        </top>
        <bottom style="thin">
          <color theme="0"/>
        </bottom>
        <vertical/>
        <horizontal/>
      </border>
    </dxf>
    <dxf>
      <fill>
        <patternFill>
          <bgColor rgb="FFE9F5DB"/>
        </patternFill>
      </fill>
      <border>
        <left style="thin">
          <color theme="0" tint="-0.499984740745262"/>
        </left>
        <right style="thin">
          <color theme="0"/>
        </right>
        <top style="thin">
          <color theme="0" tint="-0.499984740745262"/>
        </top>
        <bottom style="thin">
          <color theme="0"/>
        </bottom>
        <vertical/>
        <horizontal/>
      </border>
    </dxf>
    <dxf>
      <font>
        <b/>
        <i/>
        <color rgb="FFC00000"/>
      </font>
    </dxf>
    <dxf>
      <border>
        <right style="thin">
          <color theme="0" tint="-0.499984740745262"/>
        </right>
        <vertical/>
        <horizontal/>
      </border>
    </dxf>
    <dxf>
      <fill>
        <patternFill>
          <bgColor rgb="FFE9F5DB"/>
        </patternFill>
      </fill>
      <border>
        <left/>
        <right/>
        <top/>
        <bottom/>
        <vertical/>
        <horizontal/>
      </border>
    </dxf>
    <dxf>
      <fill>
        <patternFill>
          <bgColor rgb="FFE9F5DB"/>
        </patternFill>
      </fill>
      <border>
        <left style="thin">
          <color theme="0" tint="-0.499984740745262"/>
        </left>
        <right/>
        <top style="thin">
          <color theme="0" tint="-0.499984740745262"/>
        </top>
        <bottom/>
        <vertical/>
        <horizontal/>
      </border>
    </dxf>
    <dxf>
      <fill>
        <patternFill>
          <bgColor rgb="FFE9F5DB"/>
        </patternFill>
      </fill>
      <border>
        <left style="thin">
          <color theme="0" tint="-0.499984740745262"/>
        </left>
        <right style="thin">
          <color theme="0"/>
        </right>
        <top style="thin">
          <color theme="0" tint="-0.499984740745262"/>
        </top>
        <bottom style="thin">
          <color theme="0"/>
        </bottom>
        <vertical/>
        <horizontal/>
      </border>
    </dxf>
    <dxf>
      <fill>
        <patternFill>
          <bgColor rgb="FFE9F5DB"/>
        </patternFill>
      </fill>
      <border>
        <left style="thin">
          <color theme="0" tint="-0.499984740745262"/>
        </left>
        <right style="thin">
          <color theme="0"/>
        </right>
        <top style="thin">
          <color theme="0" tint="-0.499984740745262"/>
        </top>
        <bottom style="thin">
          <color theme="0"/>
        </bottom>
        <vertical/>
        <horizontal/>
      </border>
    </dxf>
    <dxf>
      <fill>
        <patternFill>
          <bgColor rgb="FFE9F5DB"/>
        </patternFill>
      </fill>
      <border>
        <left style="thin">
          <color theme="0" tint="-0.499984740745262"/>
        </left>
        <right style="thin">
          <color theme="0"/>
        </right>
        <top style="thin">
          <color theme="0" tint="-0.499984740745262"/>
        </top>
        <bottom/>
        <vertical/>
        <horizontal/>
      </border>
    </dxf>
    <dxf>
      <fill>
        <patternFill>
          <bgColor rgb="FFE9F5DB"/>
        </patternFill>
      </fill>
      <border>
        <left style="thin">
          <color theme="0" tint="-0.499984740745262"/>
        </left>
        <right style="thin">
          <color theme="0"/>
        </right>
        <top style="thin">
          <color theme="0" tint="-0.499984740745262"/>
        </top>
        <bottom style="thin">
          <color theme="0"/>
        </bottom>
      </border>
    </dxf>
    <dxf>
      <border>
        <right style="thin">
          <color theme="0" tint="-0.499984740745262"/>
        </right>
        <vertical/>
        <horizontal/>
      </border>
    </dxf>
    <dxf>
      <border>
        <bottom style="thin">
          <color theme="0" tint="-0.499984740745262"/>
        </bottom>
        <vertical/>
        <horizontal/>
      </border>
    </dxf>
    <dxf>
      <fill>
        <patternFill>
          <bgColor theme="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rgb="FFE9F5DB"/>
        </patternFill>
      </fill>
    </dxf>
    <dxf>
      <fill>
        <patternFill>
          <bgColor rgb="FFE9F5DB"/>
        </patternFill>
      </fill>
      <border>
        <left style="thin">
          <color theme="0" tint="-0.499984740745262"/>
        </left>
        <right style="thin">
          <color theme="0"/>
        </right>
        <top style="thin">
          <color theme="0" tint="-0.499984740745262"/>
        </top>
        <bottom style="thin">
          <color theme="0"/>
        </bottom>
      </border>
    </dxf>
    <dxf>
      <border>
        <top style="thin">
          <color theme="0"/>
        </top>
        <vertical/>
        <horizontal/>
      </border>
    </dxf>
    <dxf>
      <fill>
        <patternFill>
          <bgColor rgb="FFE9F5DB"/>
        </patternFill>
      </fill>
      <border>
        <left/>
        <right/>
        <top/>
        <bottom/>
        <vertical/>
        <horizontal/>
      </border>
    </dxf>
    <dxf>
      <border>
        <top style="thin">
          <color theme="0"/>
        </top>
        <vertical/>
        <horizontal/>
      </border>
    </dxf>
    <dxf>
      <fill>
        <patternFill>
          <bgColor rgb="FFE9F5DB"/>
        </patternFill>
      </fill>
      <border>
        <left/>
        <right/>
        <top/>
        <bottom/>
        <vertical/>
        <horizontal/>
      </border>
    </dxf>
    <dxf>
      <font>
        <u/>
        <color rgb="FF1108BE"/>
      </font>
    </dxf>
    <dxf>
      <font>
        <u/>
        <color rgb="FF1108BE"/>
      </font>
    </dxf>
    <dxf>
      <font>
        <u/>
        <color rgb="FF1108BE"/>
      </font>
    </dxf>
    <dxf>
      <font>
        <u/>
        <color rgb="FF1108BE"/>
      </font>
    </dxf>
    <dxf>
      <fill>
        <patternFill>
          <bgColor rgb="FFE9F5DB"/>
        </patternFill>
      </fill>
      <border>
        <left style="thin">
          <color theme="0" tint="-0.499984740745262"/>
        </left>
        <right style="thin">
          <color theme="0"/>
        </right>
        <top/>
        <bottom/>
        <vertical/>
        <horizontal/>
      </border>
    </dxf>
    <dxf>
      <fill>
        <patternFill>
          <bgColor rgb="FFE9F5DB"/>
        </patternFill>
      </fill>
      <border>
        <left/>
        <right style="thin">
          <color theme="0"/>
        </right>
        <top style="thin">
          <color theme="0" tint="-0.499984740745262"/>
        </top>
        <bottom style="thin">
          <color theme="0"/>
        </bottom>
        <vertical/>
        <horizontal/>
      </border>
    </dxf>
    <dxf>
      <fill>
        <patternFill>
          <bgColor rgb="FFE9F5DB"/>
        </patternFill>
      </fill>
      <border>
        <left style="thin">
          <color theme="0" tint="-0.499984740745262"/>
        </left>
        <right style="thin">
          <color theme="0" tint="-0.24994659260841701"/>
        </right>
        <top style="thin">
          <color theme="0" tint="-0.499984740745262"/>
        </top>
        <bottom style="thin">
          <color theme="0"/>
        </bottom>
        <vertical/>
        <horizontal/>
      </border>
    </dxf>
    <dxf>
      <fill>
        <patternFill>
          <bgColor theme="0"/>
        </patternFill>
      </fill>
    </dxf>
    <dxf>
      <fill>
        <patternFill>
          <bgColor rgb="FFE9F5DB"/>
        </patternFill>
      </fill>
      <border>
        <left style="thin">
          <color theme="0" tint="-0.499984740745262"/>
        </left>
        <right style="thin">
          <color theme="0"/>
        </right>
        <top style="thin">
          <color theme="0" tint="-0.499984740745262"/>
        </top>
        <bottom style="thin">
          <color theme="0"/>
        </bottom>
        <vertical/>
        <horizontal/>
      </border>
    </dxf>
    <dxf>
      <fill>
        <patternFill>
          <bgColor rgb="FFE9F5DB"/>
        </patternFill>
      </fill>
      <border>
        <left/>
        <right style="thin">
          <color theme="0"/>
        </right>
        <top style="thin">
          <color theme="0" tint="-0.499984740745262"/>
        </top>
        <bottom style="thin">
          <color theme="0"/>
        </bottom>
        <vertical/>
        <horizontal/>
      </border>
    </dxf>
    <dxf>
      <fill>
        <patternFill>
          <bgColor rgb="FFE9F5DB"/>
        </patternFill>
      </fill>
      <border>
        <left style="thin">
          <color theme="0" tint="-0.499984740745262"/>
        </left>
        <right style="thin">
          <color theme="0" tint="-0.24994659260841701"/>
        </right>
        <top style="thin">
          <color theme="0" tint="-0.499984740745262"/>
        </top>
        <bottom style="thin">
          <color theme="0"/>
        </bottom>
        <vertical/>
        <horizontal/>
      </border>
    </dxf>
    <dxf>
      <fill>
        <patternFill>
          <bgColor rgb="FFE9F5DB"/>
        </patternFill>
      </fill>
      <border>
        <left style="thin">
          <color theme="0" tint="-0.499984740745262"/>
        </left>
        <right style="thin">
          <color theme="0"/>
        </right>
        <top style="thin">
          <color theme="0" tint="-0.499984740745262"/>
        </top>
        <bottom style="thin">
          <color theme="0"/>
        </bottom>
        <vertical/>
        <horizontal/>
      </border>
    </dxf>
    <dxf>
      <fill>
        <patternFill>
          <bgColor rgb="FFE9F5DB"/>
        </patternFill>
      </fill>
      <border>
        <left/>
        <right style="thin">
          <color theme="0"/>
        </right>
        <top style="thin">
          <color theme="0" tint="-0.499984740745262"/>
        </top>
        <bottom style="thin">
          <color theme="0"/>
        </bottom>
        <vertical/>
        <horizontal/>
      </border>
    </dxf>
    <dxf>
      <fill>
        <patternFill>
          <bgColor rgb="FFE9F5DB"/>
        </patternFill>
      </fill>
      <border>
        <left style="thin">
          <color theme="0" tint="-0.499984740745262"/>
        </left>
        <right style="thin">
          <color theme="0" tint="-0.24994659260841701"/>
        </right>
        <top style="thin">
          <color theme="0" tint="-0.499984740745262"/>
        </top>
        <bottom style="thin">
          <color theme="0"/>
        </bottom>
        <vertical/>
        <horizontal/>
      </border>
    </dxf>
    <dxf>
      <fill>
        <patternFill>
          <bgColor rgb="FFE9F5DB"/>
        </patternFill>
      </fill>
      <border>
        <left style="thin">
          <color theme="0" tint="-0.499984740745262"/>
        </left>
        <right style="thin">
          <color theme="0"/>
        </right>
        <top style="thin">
          <color theme="0" tint="-0.499984740745262"/>
        </top>
        <bottom style="thin">
          <color theme="0"/>
        </bottom>
        <vertical/>
        <horizontal/>
      </border>
    </dxf>
    <dxf>
      <fill>
        <patternFill>
          <bgColor theme="0"/>
        </patternFill>
      </fill>
    </dxf>
    <dxf>
      <fill>
        <patternFill>
          <bgColor rgb="FFE9F5DB"/>
        </patternFill>
      </fill>
      <border>
        <left/>
        <right style="thin">
          <color theme="0"/>
        </right>
        <top style="thin">
          <color theme="0" tint="-0.499984740745262"/>
        </top>
        <bottom style="thin">
          <color theme="0"/>
        </bottom>
        <vertical/>
        <horizontal/>
      </border>
    </dxf>
    <dxf>
      <fill>
        <patternFill>
          <bgColor rgb="FFE9F5DB"/>
        </patternFill>
      </fill>
      <border>
        <left style="thin">
          <color theme="0" tint="-0.499984740745262"/>
        </left>
        <right style="thin">
          <color theme="0" tint="-0.24994659260841701"/>
        </right>
        <top style="thin">
          <color theme="0" tint="-0.499984740745262"/>
        </top>
        <bottom style="thin">
          <color theme="0"/>
        </bottom>
        <vertical/>
        <horizontal/>
      </border>
    </dxf>
    <dxf>
      <fill>
        <patternFill>
          <bgColor theme="0"/>
        </patternFill>
      </fill>
    </dxf>
    <dxf>
      <fill>
        <patternFill>
          <bgColor rgb="FFE9F5DB"/>
        </patternFill>
      </fill>
      <border>
        <left style="thin">
          <color theme="0" tint="-0.499984740745262"/>
        </left>
        <right style="thin">
          <color theme="0"/>
        </right>
        <top style="thin">
          <color theme="0" tint="-0.499984740745262"/>
        </top>
        <bottom style="thin">
          <color theme="0"/>
        </bottom>
        <vertical/>
        <horizontal/>
      </border>
    </dxf>
    <dxf>
      <fill>
        <patternFill>
          <bgColor rgb="FFE9F5DB"/>
        </patternFill>
      </fill>
      <border>
        <left/>
        <right style="thin">
          <color theme="0"/>
        </right>
        <top style="thin">
          <color theme="0" tint="-0.499984740745262"/>
        </top>
        <bottom style="thin">
          <color theme="0"/>
        </bottom>
        <vertical/>
        <horizontal/>
      </border>
    </dxf>
    <dxf>
      <fill>
        <patternFill>
          <bgColor rgb="FFE9F5DB"/>
        </patternFill>
      </fill>
      <border>
        <left style="thin">
          <color theme="0" tint="-0.499984740745262"/>
        </left>
        <right style="thin">
          <color theme="0" tint="-0.24994659260841701"/>
        </right>
        <top style="thin">
          <color theme="0" tint="-0.499984740745262"/>
        </top>
        <bottom style="thin">
          <color theme="0"/>
        </bottom>
        <vertical/>
        <horizontal/>
      </border>
    </dxf>
    <dxf>
      <fill>
        <patternFill>
          <bgColor rgb="FFE9F5DB"/>
        </patternFill>
      </fill>
      <border>
        <left style="thin">
          <color theme="0" tint="-0.499984740745262"/>
        </left>
        <right style="thin">
          <color theme="0"/>
        </right>
        <top style="thin">
          <color theme="0" tint="-0.499984740745262"/>
        </top>
        <bottom style="thin">
          <color theme="0"/>
        </bottom>
        <vertical/>
        <horizontal/>
      </border>
    </dxf>
    <dxf>
      <fill>
        <patternFill>
          <bgColor theme="0"/>
        </patternFill>
      </fill>
    </dxf>
    <dxf>
      <fill>
        <patternFill>
          <bgColor rgb="FFE9F5DB"/>
        </patternFill>
      </fill>
      <border>
        <left style="thin">
          <color theme="0" tint="-0.499984740745262"/>
        </left>
        <right style="thin">
          <color theme="0"/>
        </right>
        <top style="thin">
          <color theme="0" tint="-0.499984740745262"/>
        </top>
        <bottom style="thin">
          <color theme="0"/>
        </bottom>
        <vertical/>
        <horizontal/>
      </border>
    </dxf>
    <dxf>
      <fill>
        <patternFill>
          <bgColor rgb="FFE9F5DB"/>
        </patternFill>
      </fill>
      <border>
        <left/>
        <right style="thin">
          <color theme="0"/>
        </right>
        <top style="thin">
          <color theme="0" tint="-0.499984740745262"/>
        </top>
        <bottom style="thin">
          <color theme="0"/>
        </bottom>
        <vertical/>
        <horizontal/>
      </border>
    </dxf>
    <dxf>
      <fill>
        <patternFill>
          <bgColor rgb="FFE9F5DB"/>
        </patternFill>
      </fill>
      <border>
        <left style="thin">
          <color theme="0" tint="-0.499984740745262"/>
        </left>
        <right style="thin">
          <color theme="0" tint="-0.24994659260841701"/>
        </right>
        <top style="thin">
          <color theme="0" tint="-0.499984740745262"/>
        </top>
        <bottom style="thin">
          <color theme="0"/>
        </bottom>
        <vertical/>
        <horizontal/>
      </border>
    </dxf>
    <dxf>
      <fill>
        <patternFill>
          <bgColor rgb="FFE9F5DB"/>
        </patternFill>
      </fill>
      <border>
        <left style="thin">
          <color theme="0" tint="-0.499984740745262"/>
        </left>
        <right style="thin">
          <color theme="0"/>
        </right>
        <top style="thin">
          <color theme="0" tint="-0.499984740745262"/>
        </top>
        <bottom style="thin">
          <color theme="0"/>
        </bottom>
        <vertical/>
        <horizontal/>
      </border>
    </dxf>
    <dxf>
      <fill>
        <patternFill>
          <bgColor rgb="FFE9F5DB"/>
        </patternFill>
      </fill>
      <border>
        <left style="thin">
          <color theme="0" tint="-0.499984740745262"/>
        </left>
        <right style="thin">
          <color theme="0" tint="-0.24994659260841701"/>
        </right>
        <top style="thin">
          <color theme="0" tint="-0.499984740745262"/>
        </top>
        <bottom style="thin">
          <color theme="0"/>
        </bottom>
        <vertical/>
        <horizontal/>
      </border>
    </dxf>
    <dxf>
      <fill>
        <patternFill>
          <bgColor theme="0"/>
        </patternFill>
      </fill>
    </dxf>
    <dxf>
      <fill>
        <patternFill>
          <bgColor rgb="FFE9F5DB"/>
        </patternFill>
      </fill>
      <border>
        <left style="thin">
          <color theme="0" tint="-0.499984740745262"/>
        </left>
        <right style="thin">
          <color theme="0"/>
        </right>
        <top style="thin">
          <color theme="0" tint="-0.499984740745262"/>
        </top>
        <bottom style="thin">
          <color theme="0"/>
        </bottom>
        <vertical/>
        <horizontal/>
      </border>
    </dxf>
    <dxf>
      <fill>
        <patternFill>
          <bgColor rgb="FFE9F5DB"/>
        </patternFill>
      </fill>
      <border>
        <left style="thin">
          <color theme="0" tint="-0.499984740745262"/>
        </left>
        <right style="thin">
          <color theme="0" tint="-0.24994659260841701"/>
        </right>
        <top style="thin">
          <color theme="0" tint="-0.499984740745262"/>
        </top>
        <bottom style="thin">
          <color theme="0"/>
        </bottom>
        <vertical/>
        <horizontal/>
      </border>
    </dxf>
    <dxf>
      <border>
        <left style="thin">
          <color theme="0"/>
        </left>
        <vertical/>
        <horizontal/>
      </border>
    </dxf>
    <dxf>
      <border>
        <bottom style="thin">
          <color theme="0" tint="-0.499984740745262"/>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bottom style="thin">
          <color auto="1"/>
        </bottom>
        <vertical/>
        <horizontal/>
      </border>
    </dxf>
    <dxf>
      <border>
        <left style="thin">
          <color auto="1"/>
        </left>
        <right style="thin">
          <color auto="1"/>
        </right>
        <top style="thin">
          <color auto="1"/>
        </top>
        <bottom style="thin">
          <color auto="1"/>
        </bottom>
        <vertical/>
        <horizontal/>
      </border>
    </dxf>
    <dxf>
      <border>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bottom style="thin">
          <color auto="1"/>
        </bottom>
        <vertical/>
        <horizontal/>
      </border>
    </dxf>
    <dxf>
      <border>
        <left/>
        <right/>
        <top/>
        <bottom style="thin">
          <color auto="1"/>
        </bottom>
        <vertical/>
        <horizontal/>
      </border>
    </dxf>
    <dxf>
      <border>
        <left style="thin">
          <color auto="1"/>
        </left>
        <right style="thin">
          <color auto="1"/>
        </right>
        <top style="thin">
          <color auto="1"/>
        </top>
        <bottom style="thin">
          <color auto="1"/>
        </bottom>
        <vertical/>
        <horizontal/>
      </border>
    </dxf>
    <dxf>
      <border>
        <left/>
        <right/>
        <top/>
        <bottom style="thin">
          <color auto="1"/>
        </bottom>
        <vertical/>
        <horizontal/>
      </border>
    </dxf>
    <dxf>
      <font>
        <b/>
        <i val="0"/>
      </font>
      <border>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right/>
        <bottom style="thin">
          <color auto="1"/>
        </bottom>
        <vertical/>
        <horizontal/>
      </border>
    </dxf>
    <dxf>
      <border>
        <bottom/>
        <vertical/>
        <horizontal/>
      </border>
    </dxf>
    <dxf>
      <border>
        <bottom/>
        <vertical/>
        <horizontal/>
      </border>
    </dxf>
    <dxf>
      <border>
        <bottom/>
        <vertical/>
        <horizontal/>
      </border>
    </dxf>
    <dxf>
      <border>
        <left/>
        <right/>
        <top style="thin">
          <color auto="1"/>
        </top>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color rgb="FFC00000"/>
      </font>
    </dxf>
    <dxf>
      <border>
        <left/>
        <right/>
        <top/>
        <bottom/>
        <vertical/>
        <horizontal/>
      </border>
    </dxf>
  </dxfs>
  <tableStyles count="0" defaultTableStyle="TableStyleMedium2" defaultPivotStyle="PivotStyleLight16"/>
  <colors>
    <mruColors>
      <color rgb="FF1108BE"/>
      <color rgb="FFE9F5DB"/>
      <color rgb="FFD0EBB3"/>
      <color rgb="FFD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O$46" fmlaRange="$P$47:$P$49" sel="1" val="0"/>
</file>

<file path=xl/ctrlProps/ctrlProp10.xml><?xml version="1.0" encoding="utf-8"?>
<formControlPr xmlns="http://schemas.microsoft.com/office/spreadsheetml/2009/9/main" objectType="GBox"/>
</file>

<file path=xl/ctrlProps/ctrlProp11.xml><?xml version="1.0" encoding="utf-8"?>
<formControlPr xmlns="http://schemas.microsoft.com/office/spreadsheetml/2009/9/main" objectType="GBox"/>
</file>

<file path=xl/ctrlProps/ctrlProp12.xml><?xml version="1.0" encoding="utf-8"?>
<formControlPr xmlns="http://schemas.microsoft.com/office/spreadsheetml/2009/9/main" objectType="GBox"/>
</file>

<file path=xl/ctrlProps/ctrlProp13.xml><?xml version="1.0" encoding="utf-8"?>
<formControlPr xmlns="http://schemas.microsoft.com/office/spreadsheetml/2009/9/main" objectType="Radio" firstButton="1" fmlaLink="$Q$82"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Radio" checked="Checked" firstButton="1" fmlaLink="$Q$86"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firstButton="1" fmlaLink="$Q$92" lockText="1"/>
</file>

<file path=xl/ctrlProps/ctrlProp18.xml><?xml version="1.0" encoding="utf-8"?>
<formControlPr xmlns="http://schemas.microsoft.com/office/spreadsheetml/2009/9/main" objectType="Radio" checked="Checked" lockText="1"/>
</file>

<file path=xl/ctrlProps/ctrlProp19.xml><?xml version="1.0" encoding="utf-8"?>
<formControlPr xmlns="http://schemas.microsoft.com/office/spreadsheetml/2009/9/main" objectType="Radio" firstButton="1" fmlaLink="$Q$98" lockText="1"/>
</file>

<file path=xl/ctrlProps/ctrlProp2.xml><?xml version="1.0" encoding="utf-8"?>
<formControlPr xmlns="http://schemas.microsoft.com/office/spreadsheetml/2009/9/main" objectType="Drop" dropStyle="combo" dx="16" fmlaLink="$O$50" fmlaRange="$P$51:$P$53" sel="1" val="0"/>
</file>

<file path=xl/ctrlProps/ctrlProp20.xml><?xml version="1.0" encoding="utf-8"?>
<formControlPr xmlns="http://schemas.microsoft.com/office/spreadsheetml/2009/9/main" objectType="Radio" checked="Checked" lockText="1"/>
</file>

<file path=xl/ctrlProps/ctrlProp21.xml><?xml version="1.0" encoding="utf-8"?>
<formControlPr xmlns="http://schemas.microsoft.com/office/spreadsheetml/2009/9/main" objectType="Radio" firstButton="1" fmlaLink="$Q$102" lockText="1"/>
</file>

<file path=xl/ctrlProps/ctrlProp22.xml><?xml version="1.0" encoding="utf-8"?>
<formControlPr xmlns="http://schemas.microsoft.com/office/spreadsheetml/2009/9/main" objectType="Radio" checked="Checked" lockText="1"/>
</file>

<file path=xl/ctrlProps/ctrlProp23.xml><?xml version="1.0" encoding="utf-8"?>
<formControlPr xmlns="http://schemas.microsoft.com/office/spreadsheetml/2009/9/main" objectType="Radio" firstButton="1" fmlaLink="$Q$107" lockText="1"/>
</file>

<file path=xl/ctrlProps/ctrlProp24.xml><?xml version="1.0" encoding="utf-8"?>
<formControlPr xmlns="http://schemas.microsoft.com/office/spreadsheetml/2009/9/main" objectType="Radio" checked="Checked" lockText="1"/>
</file>

<file path=xl/ctrlProps/ctrlProp25.xml><?xml version="1.0" encoding="utf-8"?>
<formControlPr xmlns="http://schemas.microsoft.com/office/spreadsheetml/2009/9/main" objectType="Radio" firstButton="1" fmlaLink="$Q$112" lockText="1"/>
</file>

<file path=xl/ctrlProps/ctrlProp26.xml><?xml version="1.0" encoding="utf-8"?>
<formControlPr xmlns="http://schemas.microsoft.com/office/spreadsheetml/2009/9/main" objectType="Radio" checked="Checked" lockText="1"/>
</file>

<file path=xl/ctrlProps/ctrlProp27.xml><?xml version="1.0" encoding="utf-8"?>
<formControlPr xmlns="http://schemas.microsoft.com/office/spreadsheetml/2009/9/main" objectType="Radio" firstButton="1" fmlaLink="$Q$117" lockText="1"/>
</file>

<file path=xl/ctrlProps/ctrlProp28.xml><?xml version="1.0" encoding="utf-8"?>
<formControlPr xmlns="http://schemas.microsoft.com/office/spreadsheetml/2009/9/main" objectType="Radio" checked="Checked" lockText="1"/>
</file>

<file path=xl/ctrlProps/ctrlProp29.xml><?xml version="1.0" encoding="utf-8"?>
<formControlPr xmlns="http://schemas.microsoft.com/office/spreadsheetml/2009/9/main" objectType="Radio" checked="Checked" firstButton="1" fmlaLink="$Q$123" lockText="1"/>
</file>

<file path=xl/ctrlProps/ctrlProp3.xml><?xml version="1.0" encoding="utf-8"?>
<formControlPr xmlns="http://schemas.microsoft.com/office/spreadsheetml/2009/9/main" objectType="Drop" dropStyle="combo" dx="16" fmlaLink="$O$58" fmlaRange="$P$59:$P$69" sel="1" val="0"/>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GBox"/>
</file>

<file path=xl/ctrlProps/ctrlProp32.xml><?xml version="1.0" encoding="utf-8"?>
<formControlPr xmlns="http://schemas.microsoft.com/office/spreadsheetml/2009/9/main" objectType="Radio" checked="Checked" firstButton="1" fmlaLink="$Q$128"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4.xml><?xml version="1.0" encoding="utf-8"?>
<formControlPr xmlns="http://schemas.microsoft.com/office/spreadsheetml/2009/9/main" objectType="GBox"/>
</file>

<file path=xl/ctrlProps/ctrlProp5.xml><?xml version="1.0" encoding="utf-8"?>
<formControlPr xmlns="http://schemas.microsoft.com/office/spreadsheetml/2009/9/main" objectType="GBox"/>
</file>

<file path=xl/ctrlProps/ctrlProp6.xml><?xml version="1.0" encoding="utf-8"?>
<formControlPr xmlns="http://schemas.microsoft.com/office/spreadsheetml/2009/9/main" objectType="GBox"/>
</file>

<file path=xl/ctrlProps/ctrlProp7.xml><?xml version="1.0" encoding="utf-8"?>
<formControlPr xmlns="http://schemas.microsoft.com/office/spreadsheetml/2009/9/main" objectType="GBox"/>
</file>

<file path=xl/ctrlProps/ctrlProp8.xml><?xml version="1.0" encoding="utf-8"?>
<formControlPr xmlns="http://schemas.microsoft.com/office/spreadsheetml/2009/9/main" objectType="GBox"/>
</file>

<file path=xl/ctrlProps/ctrlProp9.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byggtjeneste.no/WPpages/Forsiden.aspx"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30480</xdr:rowOff>
        </xdr:from>
        <xdr:to>
          <xdr:col>6</xdr:col>
          <xdr:colOff>0</xdr:colOff>
          <xdr:row>17</xdr:row>
          <xdr:rowOff>99060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20</xdr:row>
          <xdr:rowOff>22860</xdr:rowOff>
        </xdr:from>
        <xdr:to>
          <xdr:col>6</xdr:col>
          <xdr:colOff>0</xdr:colOff>
          <xdr:row>21</xdr:row>
          <xdr:rowOff>76200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24</xdr:row>
          <xdr:rowOff>22860</xdr:rowOff>
        </xdr:from>
        <xdr:to>
          <xdr:col>6</xdr:col>
          <xdr:colOff>0</xdr:colOff>
          <xdr:row>25</xdr:row>
          <xdr:rowOff>76200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78</xdr:row>
          <xdr:rowOff>190500</xdr:rowOff>
        </xdr:from>
        <xdr:to>
          <xdr:col>10</xdr:col>
          <xdr:colOff>769620</xdr:colOff>
          <xdr:row>82</xdr:row>
          <xdr:rowOff>22860</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0</xdr:rowOff>
        </xdr:from>
        <xdr:to>
          <xdr:col>10</xdr:col>
          <xdr:colOff>769620</xdr:colOff>
          <xdr:row>88</xdr:row>
          <xdr:rowOff>22860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89</xdr:row>
          <xdr:rowOff>0</xdr:rowOff>
        </xdr:from>
        <xdr:to>
          <xdr:col>10</xdr:col>
          <xdr:colOff>769620</xdr:colOff>
          <xdr:row>92</xdr:row>
          <xdr:rowOff>22860</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93</xdr:row>
          <xdr:rowOff>0</xdr:rowOff>
        </xdr:from>
        <xdr:to>
          <xdr:col>10</xdr:col>
          <xdr:colOff>769620</xdr:colOff>
          <xdr:row>99</xdr:row>
          <xdr:rowOff>7620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99</xdr:row>
          <xdr:rowOff>190500</xdr:rowOff>
        </xdr:from>
        <xdr:to>
          <xdr:col>10</xdr:col>
          <xdr:colOff>784860</xdr:colOff>
          <xdr:row>104</xdr:row>
          <xdr:rowOff>7620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105</xdr:row>
          <xdr:rowOff>0</xdr:rowOff>
        </xdr:from>
        <xdr:to>
          <xdr:col>10</xdr:col>
          <xdr:colOff>784860</xdr:colOff>
          <xdr:row>109</xdr:row>
          <xdr:rowOff>7620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109</xdr:row>
          <xdr:rowOff>190500</xdr:rowOff>
        </xdr:from>
        <xdr:to>
          <xdr:col>10</xdr:col>
          <xdr:colOff>784860</xdr:colOff>
          <xdr:row>114</xdr:row>
          <xdr:rowOff>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115</xdr:row>
          <xdr:rowOff>0</xdr:rowOff>
        </xdr:from>
        <xdr:to>
          <xdr:col>10</xdr:col>
          <xdr:colOff>769620</xdr:colOff>
          <xdr:row>120</xdr:row>
          <xdr:rowOff>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120</xdr:row>
          <xdr:rowOff>190500</xdr:rowOff>
        </xdr:from>
        <xdr:to>
          <xdr:col>10</xdr:col>
          <xdr:colOff>784860</xdr:colOff>
          <xdr:row>125</xdr:row>
          <xdr:rowOff>0</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79</xdr:row>
          <xdr:rowOff>137160</xdr:rowOff>
        </xdr:from>
        <xdr:to>
          <xdr:col>9</xdr:col>
          <xdr:colOff>716280</xdr:colOff>
          <xdr:row>81</xdr:row>
          <xdr:rowOff>68580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79</xdr:row>
          <xdr:rowOff>137160</xdr:rowOff>
        </xdr:from>
        <xdr:to>
          <xdr:col>10</xdr:col>
          <xdr:colOff>693420</xdr:colOff>
          <xdr:row>81</xdr:row>
          <xdr:rowOff>68580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NEI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84</xdr:row>
          <xdr:rowOff>144780</xdr:rowOff>
        </xdr:from>
        <xdr:to>
          <xdr:col>9</xdr:col>
          <xdr:colOff>716280</xdr:colOff>
          <xdr:row>86</xdr:row>
          <xdr:rowOff>76200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84</xdr:row>
          <xdr:rowOff>144780</xdr:rowOff>
        </xdr:from>
        <xdr:to>
          <xdr:col>10</xdr:col>
          <xdr:colOff>693420</xdr:colOff>
          <xdr:row>86</xdr:row>
          <xdr:rowOff>76200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NEI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89</xdr:row>
          <xdr:rowOff>144780</xdr:rowOff>
        </xdr:from>
        <xdr:to>
          <xdr:col>9</xdr:col>
          <xdr:colOff>716280</xdr:colOff>
          <xdr:row>91</xdr:row>
          <xdr:rowOff>76200</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89</xdr:row>
          <xdr:rowOff>144780</xdr:rowOff>
        </xdr:from>
        <xdr:to>
          <xdr:col>10</xdr:col>
          <xdr:colOff>693420</xdr:colOff>
          <xdr:row>91</xdr:row>
          <xdr:rowOff>76200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NEI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95</xdr:row>
          <xdr:rowOff>38100</xdr:rowOff>
        </xdr:from>
        <xdr:to>
          <xdr:col>9</xdr:col>
          <xdr:colOff>716280</xdr:colOff>
          <xdr:row>96</xdr:row>
          <xdr:rowOff>160020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95</xdr:row>
          <xdr:rowOff>38100</xdr:rowOff>
        </xdr:from>
        <xdr:to>
          <xdr:col>10</xdr:col>
          <xdr:colOff>693420</xdr:colOff>
          <xdr:row>96</xdr:row>
          <xdr:rowOff>160020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NEI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101</xdr:row>
          <xdr:rowOff>38100</xdr:rowOff>
        </xdr:from>
        <xdr:to>
          <xdr:col>9</xdr:col>
          <xdr:colOff>716280</xdr:colOff>
          <xdr:row>102</xdr:row>
          <xdr:rowOff>160020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101</xdr:row>
          <xdr:rowOff>38100</xdr:rowOff>
        </xdr:from>
        <xdr:to>
          <xdr:col>10</xdr:col>
          <xdr:colOff>693420</xdr:colOff>
          <xdr:row>102</xdr:row>
          <xdr:rowOff>160020</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NEI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106</xdr:row>
          <xdr:rowOff>38100</xdr:rowOff>
        </xdr:from>
        <xdr:to>
          <xdr:col>9</xdr:col>
          <xdr:colOff>716280</xdr:colOff>
          <xdr:row>107</xdr:row>
          <xdr:rowOff>160020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670560</xdr:colOff>
          <xdr:row>106</xdr:row>
          <xdr:rowOff>38100</xdr:rowOff>
        </xdr:from>
        <xdr:to>
          <xdr:col>10</xdr:col>
          <xdr:colOff>289560</xdr:colOff>
          <xdr:row>107</xdr:row>
          <xdr:rowOff>160020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NEI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111</xdr:row>
          <xdr:rowOff>38100</xdr:rowOff>
        </xdr:from>
        <xdr:to>
          <xdr:col>9</xdr:col>
          <xdr:colOff>716280</xdr:colOff>
          <xdr:row>112</xdr:row>
          <xdr:rowOff>160020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111</xdr:row>
          <xdr:rowOff>38100</xdr:rowOff>
        </xdr:from>
        <xdr:to>
          <xdr:col>10</xdr:col>
          <xdr:colOff>693420</xdr:colOff>
          <xdr:row>112</xdr:row>
          <xdr:rowOff>160020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NEI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116</xdr:row>
          <xdr:rowOff>106680</xdr:rowOff>
        </xdr:from>
        <xdr:to>
          <xdr:col>9</xdr:col>
          <xdr:colOff>716280</xdr:colOff>
          <xdr:row>118</xdr:row>
          <xdr:rowOff>38100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116</xdr:row>
          <xdr:rowOff>106680</xdr:rowOff>
        </xdr:from>
        <xdr:to>
          <xdr:col>10</xdr:col>
          <xdr:colOff>693420</xdr:colOff>
          <xdr:row>118</xdr:row>
          <xdr:rowOff>38100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NEI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122</xdr:row>
          <xdr:rowOff>38100</xdr:rowOff>
        </xdr:from>
        <xdr:to>
          <xdr:col>9</xdr:col>
          <xdr:colOff>716280</xdr:colOff>
          <xdr:row>123</xdr:row>
          <xdr:rowOff>160020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122</xdr:row>
          <xdr:rowOff>38100</xdr:rowOff>
        </xdr:from>
        <xdr:to>
          <xdr:col>10</xdr:col>
          <xdr:colOff>693420</xdr:colOff>
          <xdr:row>123</xdr:row>
          <xdr:rowOff>160020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NEI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125</xdr:row>
          <xdr:rowOff>190500</xdr:rowOff>
        </xdr:from>
        <xdr:to>
          <xdr:col>10</xdr:col>
          <xdr:colOff>784860</xdr:colOff>
          <xdr:row>129</xdr:row>
          <xdr:rowOff>0</xdr:rowOff>
        </xdr:to>
        <xdr:sp macro="" textlink="">
          <xdr:nvSpPr>
            <xdr:cNvPr id="1101" name="Group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126</xdr:row>
          <xdr:rowOff>121920</xdr:rowOff>
        </xdr:from>
        <xdr:to>
          <xdr:col>9</xdr:col>
          <xdr:colOff>716280</xdr:colOff>
          <xdr:row>128</xdr:row>
          <xdr:rowOff>60960</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126</xdr:row>
          <xdr:rowOff>121920</xdr:rowOff>
        </xdr:from>
        <xdr:to>
          <xdr:col>10</xdr:col>
          <xdr:colOff>693420</xdr:colOff>
          <xdr:row>128</xdr:row>
          <xdr:rowOff>60960</xdr:rowOff>
        </xdr:to>
        <xdr:sp macro="" textlink="">
          <xdr:nvSpPr>
            <xdr:cNvPr id="1103" name="Option Button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NEI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274320</xdr:colOff>
          <xdr:row>106</xdr:row>
          <xdr:rowOff>38100</xdr:rowOff>
        </xdr:from>
        <xdr:to>
          <xdr:col>10</xdr:col>
          <xdr:colOff>708660</xdr:colOff>
          <xdr:row>107</xdr:row>
          <xdr:rowOff>160020</xdr:rowOff>
        </xdr:to>
        <xdr:sp macro="" textlink="">
          <xdr:nvSpPr>
            <xdr:cNvPr id="1115" name="Option Butto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IR</a:t>
              </a:r>
            </a:p>
          </xdr:txBody>
        </xdr:sp>
        <xdr:clientData/>
      </xdr:twoCellAnchor>
    </mc:Choice>
    <mc:Fallback/>
  </mc:AlternateContent>
  <xdr:twoCellAnchor editAs="oneCell">
    <xdr:from>
      <xdr:col>11</xdr:col>
      <xdr:colOff>781016</xdr:colOff>
      <xdr:row>0</xdr:row>
      <xdr:rowOff>111504</xdr:rowOff>
    </xdr:from>
    <xdr:to>
      <xdr:col>14</xdr:col>
      <xdr:colOff>151688</xdr:colOff>
      <xdr:row>1</xdr:row>
      <xdr:rowOff>125186</xdr:rowOff>
    </xdr:to>
    <xdr:pic>
      <xdr:nvPicPr>
        <xdr:cNvPr id="8" name="Bilde 7">
          <a:hlinkClick xmlns:r="http://schemas.openxmlformats.org/officeDocument/2006/relationships" r:id="rId1"/>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86038" y="111504"/>
          <a:ext cx="1267389" cy="204182"/>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DT276"/>
  <sheetViews>
    <sheetView showRowColHeaders="0" tabSelected="1" showWhiteSpace="0" topLeftCell="B1" zoomScale="115" zoomScaleNormal="115" workbookViewId="0">
      <selection activeCell="C8" sqref="C8:F8"/>
    </sheetView>
  </sheetViews>
  <sheetFormatPr baseColWidth="10" defaultRowHeight="14.4"/>
  <cols>
    <col min="1" max="1" width="5" style="1" hidden="1" customWidth="1"/>
    <col min="2" max="2" width="3.6640625" customWidth="1"/>
    <col min="3" max="3" width="8.5546875" customWidth="1"/>
    <col min="4" max="4" width="17.5546875" customWidth="1"/>
    <col min="5" max="5" width="10.6640625" customWidth="1"/>
    <col min="6" max="6" width="14.5546875" customWidth="1"/>
    <col min="7" max="7" width="26" customWidth="1"/>
    <col min="8" max="8" width="3.5546875" customWidth="1"/>
    <col min="9" max="9" width="18.44140625" customWidth="1"/>
    <col min="10" max="10" width="12.109375" customWidth="1"/>
    <col min="11" max="11" width="15.44140625" customWidth="1"/>
    <col min="12" max="12" width="15.6640625" customWidth="1"/>
    <col min="13" max="13" width="12.6640625" customWidth="1"/>
    <col min="14" max="14" width="11.44140625" hidden="1" customWidth="1"/>
    <col min="15" max="15" width="14.6640625" customWidth="1"/>
    <col min="17" max="23" width="11.44140625" style="3" hidden="1" customWidth="1"/>
    <col min="24" max="24" width="4.88671875" style="3" hidden="1" customWidth="1"/>
    <col min="25" max="25" width="11.44140625" style="3" hidden="1" customWidth="1"/>
    <col min="26" max="26" width="13.33203125" style="3" hidden="1" customWidth="1"/>
    <col min="27" max="27" width="16.44140625" style="3" hidden="1" customWidth="1"/>
    <col min="28" max="29" width="7.6640625" style="3" hidden="1" customWidth="1"/>
    <col min="30" max="30" width="9.44140625" style="3" hidden="1" customWidth="1"/>
    <col min="31" max="31" width="9.109375" style="3" hidden="1" customWidth="1"/>
    <col min="32" max="32" width="2.88671875" style="3" hidden="1" customWidth="1"/>
    <col min="33" max="33" width="13.33203125" style="3" hidden="1" customWidth="1"/>
    <col min="34" max="34" width="4.88671875" style="3" hidden="1" customWidth="1"/>
    <col min="35" max="59" width="11.44140625" style="3" hidden="1" customWidth="1"/>
    <col min="63" max="63" width="11.44140625" customWidth="1"/>
    <col min="66" max="66" width="12.5546875" customWidth="1"/>
    <col min="68" max="68" width="10" customWidth="1"/>
  </cols>
  <sheetData>
    <row r="1" spans="1:124" s="15" customFormat="1">
      <c r="A1" s="14"/>
      <c r="B1" s="14"/>
      <c r="C1" s="14"/>
      <c r="D1" s="14"/>
      <c r="E1" s="14"/>
      <c r="F1" s="14"/>
      <c r="G1" s="14"/>
      <c r="H1" s="14"/>
      <c r="I1" s="14"/>
      <c r="J1" s="14"/>
      <c r="K1" s="14"/>
      <c r="L1" s="108"/>
      <c r="M1" s="14"/>
      <c r="N1" s="14"/>
      <c r="O1" s="175" t="s">
        <v>101</v>
      </c>
      <c r="P1" s="14"/>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row>
    <row r="2" spans="1:124" s="15" customFormat="1" ht="18">
      <c r="A2" s="14"/>
      <c r="B2" s="16"/>
      <c r="C2" s="17" t="str">
        <f>IF(O46=2,"Egendeklarasjon BREEAM-NOR - Sjekkliste A 20",IF(O46=3,"Egendeklarasjon BREEAM-NOR HEA 9 - Forurensning i innemiljø","Egendeklarasjon BREEAM-NOR"))</f>
        <v>Egendeklarasjon BREEAM-NOR</v>
      </c>
      <c r="D2" s="18"/>
      <c r="E2" s="18"/>
      <c r="F2" s="18"/>
      <c r="G2" s="18"/>
      <c r="H2" s="18"/>
      <c r="I2" s="18"/>
      <c r="J2" s="14"/>
      <c r="K2" s="14"/>
      <c r="L2" s="108"/>
      <c r="M2" s="14"/>
      <c r="N2" s="14"/>
      <c r="O2" s="175"/>
      <c r="P2" s="14"/>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row>
    <row r="3" spans="1:124" s="15" customFormat="1" ht="10.5" customHeight="1">
      <c r="A3" s="14"/>
      <c r="B3" s="14"/>
      <c r="C3" s="14"/>
      <c r="D3" s="14"/>
      <c r="E3" s="14"/>
      <c r="F3" s="14"/>
      <c r="G3" s="14"/>
      <c r="H3" s="14"/>
      <c r="I3" s="14"/>
      <c r="J3" s="14"/>
      <c r="K3" s="14"/>
      <c r="L3" s="14"/>
      <c r="M3" s="14"/>
      <c r="N3" s="14"/>
      <c r="O3" s="14"/>
      <c r="P3" s="14"/>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row>
    <row r="4" spans="1:124" ht="15" customHeight="1">
      <c r="A4" s="14"/>
      <c r="B4" s="14"/>
      <c r="C4" s="137" t="str">
        <f>IF(O46=1,"",IF(O46=3,"Egendeklarasjon på at produkter tilfredsstiller krav i BREEAM-NOR versjon 1.0 (14.03.12)",IF(P50=3,"Egendeklarasjon på at produkter tilfredsstiller krav i BREEAM-NOR",IF(P50=4,"Egendeklarasjon på at produkter tilfredsstiller krav i BREEAM-NOR versjon 1.0 (14.03.2012) for prosjekter registrert fra 14.03.2012 til 30.03.2013",IF(P50=5,"Egendeklarasjon på at produkter tilfredsstiller krav i BREEAM-NOR versjon 1.0 (14.03.2012) for prosjekter registrert etter 01.04.2013","")))))</f>
        <v/>
      </c>
      <c r="D4" s="138"/>
      <c r="E4" s="138"/>
      <c r="F4" s="138"/>
      <c r="G4" s="138"/>
      <c r="H4" s="138"/>
      <c r="I4" s="139"/>
      <c r="J4" s="14"/>
      <c r="K4" s="14"/>
      <c r="L4" s="14"/>
      <c r="M4" s="14"/>
      <c r="N4" s="14"/>
      <c r="O4" s="14"/>
      <c r="P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row>
    <row r="5" spans="1:124" ht="15" customHeight="1">
      <c r="A5" s="14"/>
      <c r="B5" s="14"/>
      <c r="C5" s="140"/>
      <c r="D5" s="141"/>
      <c r="E5" s="141"/>
      <c r="F5" s="141"/>
      <c r="G5" s="141"/>
      <c r="H5" s="141"/>
      <c r="I5" s="142"/>
      <c r="J5" s="14"/>
      <c r="K5" s="14"/>
      <c r="L5" s="14"/>
      <c r="M5" s="14"/>
      <c r="N5" s="14"/>
      <c r="O5" s="14"/>
      <c r="P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row>
    <row r="6" spans="1:124" ht="9.9" customHeight="1">
      <c r="A6" s="14"/>
      <c r="B6" s="14"/>
      <c r="C6" s="14"/>
      <c r="D6" s="14"/>
      <c r="E6" s="14"/>
      <c r="F6" s="14"/>
      <c r="G6" s="14"/>
      <c r="H6" s="14"/>
      <c r="I6" s="14"/>
      <c r="J6" s="14"/>
      <c r="K6" s="14"/>
      <c r="L6" s="14"/>
      <c r="M6" s="14"/>
      <c r="N6" s="14"/>
      <c r="O6" s="14"/>
      <c r="P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row>
    <row r="7" spans="1:124">
      <c r="A7" s="14"/>
      <c r="B7" s="14"/>
      <c r="C7" s="19" t="s">
        <v>28</v>
      </c>
      <c r="D7" s="19"/>
      <c r="E7" s="14"/>
      <c r="F7" s="14"/>
      <c r="G7" s="14"/>
      <c r="H7" s="14"/>
      <c r="I7" s="14"/>
      <c r="J7" s="14"/>
      <c r="K7" s="14"/>
      <c r="L7" s="14"/>
      <c r="M7" s="14"/>
      <c r="N7" s="14"/>
      <c r="O7" s="14"/>
      <c r="P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row>
    <row r="8" spans="1:124" ht="20.25" customHeight="1">
      <c r="A8" s="14"/>
      <c r="B8" s="14"/>
      <c r="C8" s="143"/>
      <c r="D8" s="144"/>
      <c r="E8" s="144"/>
      <c r="F8" s="145"/>
      <c r="G8" s="14"/>
      <c r="H8" s="14"/>
      <c r="I8" s="14"/>
      <c r="J8" s="14"/>
      <c r="K8" s="14"/>
      <c r="L8" s="14"/>
      <c r="M8" s="14"/>
      <c r="N8" s="14"/>
      <c r="O8" s="14"/>
      <c r="P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row>
    <row r="9" spans="1:124" ht="9.9" customHeight="1">
      <c r="A9" s="14"/>
      <c r="B9" s="14"/>
      <c r="C9" s="14"/>
      <c r="D9" s="20"/>
      <c r="E9" s="20"/>
      <c r="F9" s="20"/>
      <c r="G9" s="14"/>
      <c r="H9" s="14"/>
      <c r="I9" s="14"/>
      <c r="J9" s="14"/>
      <c r="K9" s="14"/>
      <c r="L9" s="14"/>
      <c r="M9" s="14"/>
      <c r="N9" s="14"/>
      <c r="O9" s="14"/>
      <c r="P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row>
    <row r="10" spans="1:124">
      <c r="A10" s="14"/>
      <c r="B10" s="14"/>
      <c r="C10" s="19" t="s">
        <v>17</v>
      </c>
      <c r="D10" s="14"/>
      <c r="E10" s="14"/>
      <c r="F10" s="14"/>
      <c r="G10" s="14"/>
      <c r="H10" s="14"/>
      <c r="I10" s="14"/>
      <c r="J10" s="14"/>
      <c r="K10" s="14"/>
      <c r="L10" s="14"/>
      <c r="M10" s="14"/>
      <c r="N10" s="14"/>
      <c r="O10" s="14"/>
      <c r="P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row>
    <row r="11" spans="1:124" ht="20.25" customHeight="1">
      <c r="A11" s="14"/>
      <c r="B11" s="14"/>
      <c r="C11" s="143"/>
      <c r="D11" s="144"/>
      <c r="E11" s="144"/>
      <c r="F11" s="145"/>
      <c r="G11" s="14"/>
      <c r="H11" s="14"/>
      <c r="I11" s="14"/>
      <c r="J11" s="14"/>
      <c r="K11" s="14"/>
      <c r="L11" s="14"/>
      <c r="M11" s="14"/>
      <c r="N11" s="14"/>
      <c r="O11" s="14"/>
      <c r="P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row>
    <row r="12" spans="1:124" ht="9.9" customHeight="1">
      <c r="A12" s="14"/>
      <c r="B12" s="14"/>
      <c r="C12" s="14"/>
      <c r="D12" s="14"/>
      <c r="E12" s="14"/>
      <c r="F12" s="14"/>
      <c r="G12" s="14"/>
      <c r="H12" s="14"/>
      <c r="I12" s="14"/>
      <c r="J12" s="14"/>
      <c r="K12" s="14"/>
      <c r="L12" s="14"/>
      <c r="M12" s="14"/>
      <c r="N12" s="14"/>
      <c r="O12" s="14"/>
      <c r="P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row>
    <row r="13" spans="1:124">
      <c r="A13" s="14"/>
      <c r="B13" s="14"/>
      <c r="C13" s="19" t="s">
        <v>18</v>
      </c>
      <c r="D13" s="14"/>
      <c r="E13" s="14"/>
      <c r="F13" s="14"/>
      <c r="G13" s="14"/>
      <c r="H13" s="14"/>
      <c r="I13" s="14"/>
      <c r="J13" s="14"/>
      <c r="K13" s="14"/>
      <c r="L13" s="14"/>
      <c r="M13" s="14"/>
      <c r="N13" s="14"/>
      <c r="O13" s="14"/>
      <c r="P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row>
    <row r="14" spans="1:124" ht="20.25" customHeight="1">
      <c r="A14" s="14"/>
      <c r="B14" s="14"/>
      <c r="C14" s="143"/>
      <c r="D14" s="144"/>
      <c r="E14" s="144"/>
      <c r="F14" s="145"/>
      <c r="G14" s="14"/>
      <c r="H14" s="14"/>
      <c r="I14" s="14"/>
      <c r="J14" s="14"/>
      <c r="K14" s="14"/>
      <c r="L14" s="14"/>
      <c r="M14" s="14"/>
      <c r="N14" s="14"/>
      <c r="O14" s="14"/>
      <c r="P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row>
    <row r="15" spans="1:124" ht="9.9" customHeight="1">
      <c r="A15" s="14"/>
      <c r="B15" s="14"/>
      <c r="C15" s="14"/>
      <c r="D15" s="14"/>
      <c r="E15" s="14"/>
      <c r="F15" s="14"/>
      <c r="G15" s="14"/>
      <c r="H15" s="14"/>
      <c r="I15" s="14"/>
      <c r="J15" s="14"/>
      <c r="K15" s="14"/>
      <c r="L15" s="14"/>
      <c r="M15" s="14"/>
      <c r="N15" s="14"/>
      <c r="O15" s="14"/>
      <c r="P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row>
    <row r="16" spans="1:124">
      <c r="A16" s="14"/>
      <c r="B16" s="14"/>
      <c r="C16" s="21" t="s">
        <v>49</v>
      </c>
      <c r="D16" s="22"/>
      <c r="E16" s="14"/>
      <c r="F16" s="14"/>
      <c r="G16" s="14"/>
      <c r="H16" s="14"/>
      <c r="I16" s="14"/>
      <c r="J16" s="14"/>
      <c r="K16" s="14"/>
      <c r="L16" s="14"/>
      <c r="M16" s="14"/>
      <c r="N16" s="14"/>
      <c r="O16" s="14"/>
      <c r="P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row>
    <row r="17" spans="1:124">
      <c r="A17" s="14"/>
      <c r="B17" s="14"/>
      <c r="C17" s="14"/>
      <c r="D17" s="14"/>
      <c r="E17" s="14"/>
      <c r="F17" s="14"/>
      <c r="G17" s="14"/>
      <c r="H17" s="14"/>
      <c r="I17" s="14"/>
      <c r="J17" s="14"/>
      <c r="K17" s="14"/>
      <c r="L17" s="14"/>
      <c r="M17" s="14"/>
      <c r="N17" s="14"/>
      <c r="O17" s="14"/>
      <c r="P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row>
    <row r="18" spans="1:124" ht="9" customHeight="1">
      <c r="A18" s="14"/>
      <c r="B18" s="14"/>
      <c r="C18" s="14"/>
      <c r="D18" s="14"/>
      <c r="E18" s="14"/>
      <c r="F18" s="14"/>
      <c r="G18" s="14"/>
      <c r="H18" s="14"/>
      <c r="I18" s="14"/>
      <c r="J18" s="14"/>
      <c r="K18" s="14"/>
      <c r="L18" s="14"/>
      <c r="M18" s="14"/>
      <c r="N18" s="14"/>
      <c r="O18" s="14"/>
      <c r="P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row>
    <row r="19" spans="1:124" ht="9.9" customHeight="1">
      <c r="A19" s="14"/>
      <c r="B19" s="14"/>
      <c r="C19" s="14"/>
      <c r="D19" s="14"/>
      <c r="E19" s="14"/>
      <c r="F19" s="14"/>
      <c r="G19" s="14"/>
      <c r="H19" s="14"/>
      <c r="I19" s="14"/>
      <c r="J19" s="14"/>
      <c r="K19" s="14"/>
      <c r="L19" s="14"/>
      <c r="M19" s="14"/>
      <c r="N19" s="14"/>
      <c r="O19" s="14"/>
      <c r="P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row>
    <row r="20" spans="1:124">
      <c r="A20" s="14"/>
      <c r="B20" s="14"/>
      <c r="C20" s="19" t="s">
        <v>20</v>
      </c>
      <c r="D20" s="14"/>
      <c r="E20" s="14"/>
      <c r="F20" s="14"/>
      <c r="G20" s="14"/>
      <c r="H20" s="14"/>
      <c r="I20" s="14"/>
      <c r="J20" s="14"/>
      <c r="K20" s="14"/>
      <c r="L20" s="14"/>
      <c r="M20" s="14"/>
      <c r="N20" s="14"/>
      <c r="O20" s="14"/>
      <c r="P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row>
    <row r="21" spans="1:124">
      <c r="A21" s="14"/>
      <c r="B21" s="14"/>
      <c r="C21" s="14"/>
      <c r="D21" s="14"/>
      <c r="E21" s="14"/>
      <c r="F21" s="14"/>
      <c r="G21" s="187"/>
      <c r="H21" s="14"/>
      <c r="I21" s="14"/>
      <c r="J21" s="14"/>
      <c r="K21" s="14"/>
      <c r="L21" s="14"/>
      <c r="M21" s="14"/>
      <c r="N21" s="14"/>
      <c r="O21" s="14"/>
      <c r="P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row>
    <row r="22" spans="1:124" ht="6.75" customHeight="1">
      <c r="A22" s="14"/>
      <c r="B22" s="14"/>
      <c r="C22" s="14"/>
      <c r="D22" s="14"/>
      <c r="E22" s="14"/>
      <c r="F22" s="14"/>
      <c r="G22" s="187"/>
      <c r="H22" s="14"/>
      <c r="I22" s="14"/>
      <c r="J22" s="14"/>
      <c r="K22" s="14"/>
      <c r="L22" s="14"/>
      <c r="M22" s="14"/>
      <c r="N22" s="14"/>
      <c r="O22" s="14"/>
      <c r="P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row>
    <row r="23" spans="1:124" ht="9.9" customHeight="1">
      <c r="A23" s="14"/>
      <c r="B23" s="14"/>
      <c r="C23" s="14"/>
      <c r="D23" s="14"/>
      <c r="E23" s="14"/>
      <c r="F23" s="14"/>
      <c r="G23" s="14"/>
      <c r="H23" s="14"/>
      <c r="I23" s="14"/>
      <c r="J23" s="14"/>
      <c r="K23" s="14"/>
      <c r="L23" s="14"/>
      <c r="M23" s="14"/>
      <c r="N23" s="14"/>
      <c r="O23" s="14"/>
      <c r="P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row>
    <row r="24" spans="1:124">
      <c r="A24" s="14"/>
      <c r="B24" s="14"/>
      <c r="C24" s="19" t="s">
        <v>13</v>
      </c>
      <c r="D24" s="14"/>
      <c r="E24" s="14"/>
      <c r="F24" s="14"/>
      <c r="G24" s="14"/>
      <c r="H24" s="14"/>
      <c r="I24" s="14"/>
      <c r="J24" s="14"/>
      <c r="K24" s="14"/>
      <c r="L24" s="14"/>
      <c r="M24" s="14"/>
      <c r="N24" s="14"/>
      <c r="O24" s="14"/>
      <c r="P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row>
    <row r="25" spans="1:124">
      <c r="A25" s="14"/>
      <c r="B25" s="14"/>
      <c r="C25" s="14"/>
      <c r="D25" s="14"/>
      <c r="E25" s="14"/>
      <c r="F25" s="14"/>
      <c r="G25" s="14"/>
      <c r="H25" s="14"/>
      <c r="I25" s="14"/>
      <c r="J25" s="14"/>
      <c r="K25" s="14"/>
      <c r="L25" s="14"/>
      <c r="M25" s="14"/>
      <c r="N25" s="14"/>
      <c r="O25" s="14"/>
      <c r="P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row>
    <row r="26" spans="1:124">
      <c r="A26" s="14"/>
      <c r="B26" s="14"/>
      <c r="C26" s="14"/>
      <c r="D26" s="14"/>
      <c r="E26" s="14"/>
      <c r="F26" s="14"/>
      <c r="G26" s="14"/>
      <c r="H26" s="14"/>
      <c r="I26" s="14"/>
      <c r="J26" s="14"/>
      <c r="K26" s="14"/>
      <c r="L26" s="14"/>
      <c r="M26" s="14"/>
      <c r="N26" s="14"/>
      <c r="O26" s="14"/>
      <c r="P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row>
    <row r="27" spans="1:124">
      <c r="A27" s="14"/>
      <c r="B27" s="14"/>
      <c r="C27" s="19" t="str">
        <f>IF(P57=TRUE,"Gjelder følgende produkter:",IF(U57=TRUE,"Gjelder følgende produkter:",IF(Q57=TRUE,"Gjelder følgende produkt:",IF(R57=TRUE,"Gjelder følgende produkter:",IF(S57=TRUE,"Gjelder følgende produkter:","")))))</f>
        <v/>
      </c>
      <c r="D27" s="23"/>
      <c r="E27" s="14"/>
      <c r="F27" s="14"/>
      <c r="G27" s="14"/>
      <c r="H27" s="14"/>
      <c r="I27" s="14"/>
      <c r="J27" s="14"/>
      <c r="K27" s="14"/>
      <c r="L27" s="14"/>
      <c r="M27" s="14"/>
      <c r="N27" s="14"/>
      <c r="O27" s="14"/>
      <c r="P27" s="14"/>
      <c r="T27" s="3" t="b">
        <f>IF(D27="",FALSE,TRUE)</f>
        <v>0</v>
      </c>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row>
    <row r="28" spans="1:124">
      <c r="A28" s="14"/>
      <c r="B28" s="14"/>
      <c r="C28" s="197" t="str">
        <f>T34</f>
        <v/>
      </c>
      <c r="D28" s="197"/>
      <c r="E28" s="197"/>
      <c r="F28" s="197"/>
      <c r="G28" s="197"/>
      <c r="H28" s="197"/>
      <c r="I28" s="197"/>
      <c r="J28" s="14"/>
      <c r="K28" s="14"/>
      <c r="L28" s="14"/>
      <c r="M28" s="14"/>
      <c r="N28" s="14"/>
      <c r="O28" s="14"/>
      <c r="P28" s="14"/>
      <c r="T28" s="3" t="str">
        <f>IF($P$57=TRUE,"Sponplater, ",IF(Q57=TRUE,"Limtre.",IF(R57=TRUE,"Vinyl/linoleum, ",IF(S57=TRUE,"Ferdige tapeter, ",IF(U57=TRUE,"Vinyl-/våtromstapet, ","")))))</f>
        <v/>
      </c>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row>
    <row r="29" spans="1:124">
      <c r="A29" s="14"/>
      <c r="B29" s="14"/>
      <c r="C29" s="197"/>
      <c r="D29" s="197"/>
      <c r="E29" s="197"/>
      <c r="F29" s="197"/>
      <c r="G29" s="197"/>
      <c r="H29" s="197"/>
      <c r="I29" s="197"/>
      <c r="J29" s="14"/>
      <c r="K29" s="14"/>
      <c r="L29" s="14"/>
      <c r="M29" s="14"/>
      <c r="N29" s="14"/>
      <c r="O29" s="14"/>
      <c r="P29" s="14"/>
      <c r="T29" s="3" t="str">
        <f>IF($P$57=TRUE,"fiberplater (også MDF), ",IF(R57=TRUE,"kork og gummi, ",IF(S57=TRUE,"tapet som skal dekoreres, ",IF(U57=TRUE,"glassfiberstrie",""))))</f>
        <v/>
      </c>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row>
    <row r="30" spans="1:124" hidden="1">
      <c r="A30" s="14"/>
      <c r="B30" s="14"/>
      <c r="C30" s="14"/>
      <c r="D30" s="24"/>
      <c r="E30" s="14"/>
      <c r="F30" s="14"/>
      <c r="G30" s="14"/>
      <c r="H30" s="14"/>
      <c r="I30" s="14"/>
      <c r="J30" s="14"/>
      <c r="K30" s="14"/>
      <c r="L30" s="14"/>
      <c r="M30" s="14"/>
      <c r="N30" s="14"/>
      <c r="O30" s="14"/>
      <c r="P30" s="14"/>
      <c r="T30" s="3" t="str">
        <f>IF($P$57=TRUE,"OSB, ",IF(R57=TRUE,"teppe ",IF(S57=TRUE,"tekstile veggkledninger, ","")))</f>
        <v/>
      </c>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row>
    <row r="31" spans="1:124" hidden="1">
      <c r="A31" s="14"/>
      <c r="B31" s="14"/>
      <c r="C31" s="14"/>
      <c r="D31" s="24"/>
      <c r="E31" s="14"/>
      <c r="F31" s="14"/>
      <c r="G31" s="14"/>
      <c r="H31" s="14"/>
      <c r="I31" s="14"/>
      <c r="J31" s="14"/>
      <c r="K31" s="14"/>
      <c r="L31" s="14"/>
      <c r="M31" s="14"/>
      <c r="N31" s="14"/>
      <c r="O31" s="14"/>
      <c r="P31" s="14"/>
      <c r="T31" s="3" t="str">
        <f>IF($P$57=TRUE,"sementbundne sponplater, ",IF(R57=TRUE,"og laminatgulv.",IF(S57=TRUE,"veggkledninger for hard belastning ","")))</f>
        <v/>
      </c>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row>
    <row r="32" spans="1:124" hidden="1">
      <c r="A32" s="14"/>
      <c r="B32" s="14"/>
      <c r="C32" s="14"/>
      <c r="D32" s="24"/>
      <c r="E32" s="14"/>
      <c r="F32" s="14"/>
      <c r="G32" s="14"/>
      <c r="H32" s="14"/>
      <c r="I32" s="14"/>
      <c r="J32" s="14"/>
      <c r="K32" s="14"/>
      <c r="L32" s="14"/>
      <c r="M32" s="14"/>
      <c r="N32" s="14"/>
      <c r="O32" s="14"/>
      <c r="P32" s="14"/>
      <c r="T32" s="3" t="str">
        <f>IF($P$57=TRUE,"kryssfinér, ",IF(S57=TRUE,"og veggkledninger i vinyl og plast.",""))</f>
        <v/>
      </c>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row>
    <row r="33" spans="1:124" hidden="1">
      <c r="A33" s="14"/>
      <c r="B33" s="14"/>
      <c r="C33" s="14"/>
      <c r="D33" s="24"/>
      <c r="E33" s="14"/>
      <c r="F33" s="14"/>
      <c r="G33" s="14"/>
      <c r="H33" s="14"/>
      <c r="I33" s="14"/>
      <c r="J33" s="14"/>
      <c r="K33" s="14"/>
      <c r="L33" s="14"/>
      <c r="M33" s="14"/>
      <c r="N33" s="14"/>
      <c r="O33" s="14"/>
      <c r="P33" s="14"/>
      <c r="T33" s="3" t="str">
        <f>IF($P$57=TRUE,"heltrepanel og akustikkplater.","")</f>
        <v/>
      </c>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row>
    <row r="34" spans="1:124">
      <c r="A34" s="14"/>
      <c r="B34" s="14"/>
      <c r="C34" s="14"/>
      <c r="D34" s="14"/>
      <c r="E34" s="14"/>
      <c r="F34" s="14"/>
      <c r="G34" s="14"/>
      <c r="H34" s="16"/>
      <c r="I34" s="16"/>
      <c r="J34" s="16"/>
      <c r="K34" s="16"/>
      <c r="L34" s="14"/>
      <c r="M34" s="14"/>
      <c r="N34" s="14"/>
      <c r="O34" s="14"/>
      <c r="P34" s="14"/>
      <c r="T34" s="3" t="str">
        <f>CONCATENATE(T28,T29,T30,T31,T32,T33)</f>
        <v/>
      </c>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row>
    <row r="35" spans="1:124" ht="15" customHeight="1">
      <c r="A35" s="14"/>
      <c r="B35" s="14"/>
      <c r="C35" s="188" t="str">
        <f>IF(O46=3,X47,IF(O46=2,X53,""))</f>
        <v/>
      </c>
      <c r="D35" s="189"/>
      <c r="E35" s="189"/>
      <c r="F35" s="189"/>
      <c r="G35" s="189"/>
      <c r="H35" s="189"/>
      <c r="I35" s="189"/>
      <c r="J35" s="189"/>
      <c r="K35" s="189"/>
      <c r="L35" s="189"/>
      <c r="M35" s="189"/>
      <c r="N35" s="189"/>
      <c r="O35" s="190"/>
      <c r="P35" s="14"/>
      <c r="U35" s="3" t="b">
        <f>IF(R63=TRUE,TRUE,IF(R65=TRUE,TRUE,IF(R66=TRUE,TRUE,IF(S63=TRUE,TRUE,IF(S65=TRUE,TRUE,IF(S66=TRUE,TRUE,FALSE))))))</f>
        <v>0</v>
      </c>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row>
    <row r="36" spans="1:124">
      <c r="A36" s="14"/>
      <c r="B36" s="14"/>
      <c r="C36" s="191"/>
      <c r="D36" s="192"/>
      <c r="E36" s="192"/>
      <c r="F36" s="192"/>
      <c r="G36" s="192"/>
      <c r="H36" s="192"/>
      <c r="I36" s="192"/>
      <c r="J36" s="192"/>
      <c r="K36" s="192"/>
      <c r="L36" s="192"/>
      <c r="M36" s="192"/>
      <c r="N36" s="192"/>
      <c r="O36" s="193"/>
      <c r="P36" s="14"/>
      <c r="U36" s="3" t="str">
        <f>IF(U35=TRUE,"navngitt","navngitte")</f>
        <v>navngitte</v>
      </c>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row>
    <row r="37" spans="1:124" ht="15" customHeight="1">
      <c r="A37" s="14"/>
      <c r="B37" s="14"/>
      <c r="C37" s="191"/>
      <c r="D37" s="192"/>
      <c r="E37" s="192"/>
      <c r="F37" s="192"/>
      <c r="G37" s="192"/>
      <c r="H37" s="192"/>
      <c r="I37" s="192"/>
      <c r="J37" s="192"/>
      <c r="K37" s="192"/>
      <c r="L37" s="192"/>
      <c r="M37" s="192"/>
      <c r="N37" s="192"/>
      <c r="O37" s="193"/>
      <c r="P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row>
    <row r="38" spans="1:124" ht="15" hidden="1" customHeight="1">
      <c r="A38" s="14"/>
      <c r="B38" s="14"/>
      <c r="C38" s="191"/>
      <c r="D38" s="192"/>
      <c r="E38" s="192"/>
      <c r="F38" s="192"/>
      <c r="G38" s="192"/>
      <c r="H38" s="192"/>
      <c r="I38" s="192"/>
      <c r="J38" s="192"/>
      <c r="K38" s="192"/>
      <c r="L38" s="192"/>
      <c r="M38" s="192"/>
      <c r="N38" s="192"/>
      <c r="O38" s="193"/>
      <c r="P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row>
    <row r="39" spans="1:124" ht="21" hidden="1" customHeight="1">
      <c r="A39" s="14"/>
      <c r="B39" s="14"/>
      <c r="C39" s="191"/>
      <c r="D39" s="192"/>
      <c r="E39" s="192"/>
      <c r="F39" s="192"/>
      <c r="G39" s="192"/>
      <c r="H39" s="192"/>
      <c r="I39" s="192"/>
      <c r="J39" s="192"/>
      <c r="K39" s="192"/>
      <c r="L39" s="192"/>
      <c r="M39" s="192"/>
      <c r="N39" s="192"/>
      <c r="O39" s="193"/>
      <c r="P39" s="14"/>
      <c r="T39" s="3" t="str">
        <f>IF(O58=1,"",IF(O46=3,"Følgende produkter tilfredsstiller krav som stilles til "&amp;T70&amp;" i emne «HEA 9 - Forurensning i innemiljø» i BREEAM-NOR","Følgende "&amp;U36&amp;" "&amp;T70&amp;" tilfredsstiller minimumskrav til miljøgifter i BREEAM-NORs sjekkliste A20"))</f>
        <v/>
      </c>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row>
    <row r="40" spans="1:124">
      <c r="A40" s="14"/>
      <c r="B40" s="14"/>
      <c r="C40" s="194"/>
      <c r="D40" s="195"/>
      <c r="E40" s="195"/>
      <c r="F40" s="195"/>
      <c r="G40" s="195"/>
      <c r="H40" s="195"/>
      <c r="I40" s="195"/>
      <c r="J40" s="195"/>
      <c r="K40" s="195"/>
      <c r="L40" s="195"/>
      <c r="M40" s="195"/>
      <c r="N40" s="195"/>
      <c r="O40" s="196"/>
      <c r="P40" s="14"/>
      <c r="T40" s="3" t="str">
        <f>IF(O46=1,"",IF(O58=1,"",IF(R67=TRUE,"",IF(R68=TRUE,"","(Her kan alle typer "&amp;T70&amp;" fra produsenten som tilfredsstiller kriteriene nedenfor listes opp, og på den måten slippe å fylle ut ett skjema for hvert produkt):"))))</f>
        <v/>
      </c>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row>
    <row r="41" spans="1:124" ht="7.5" customHeight="1">
      <c r="A41" s="14"/>
      <c r="B41" s="14"/>
      <c r="C41" s="14"/>
      <c r="D41" s="26"/>
      <c r="E41" s="26"/>
      <c r="F41" s="26"/>
      <c r="G41" s="26"/>
      <c r="H41" s="25"/>
      <c r="I41" s="25"/>
      <c r="J41" s="25"/>
      <c r="K41" s="25"/>
      <c r="L41" s="14"/>
      <c r="M41" s="14"/>
      <c r="N41" s="14"/>
      <c r="O41" s="14"/>
      <c r="P41" s="14"/>
      <c r="T41" s="3" t="str">
        <f>IF(O46=1,"",IF(O58=9,"",IF(O58=10,"",CONCATENATE(T39," ",T40))))</f>
        <v/>
      </c>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row>
    <row r="42" spans="1:124" ht="15" customHeight="1">
      <c r="A42" s="14"/>
      <c r="B42" s="14"/>
      <c r="C42" s="198" t="str">
        <f>IF(T41="","",T41)</f>
        <v/>
      </c>
      <c r="D42" s="198"/>
      <c r="E42" s="198"/>
      <c r="F42" s="198"/>
      <c r="G42" s="198"/>
      <c r="H42" s="198"/>
      <c r="I42" s="198"/>
      <c r="J42" s="198"/>
      <c r="K42" s="198"/>
      <c r="L42" s="198"/>
      <c r="M42" s="198"/>
      <c r="N42" s="198"/>
      <c r="O42" s="198"/>
      <c r="P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row>
    <row r="43" spans="1:124" ht="15" customHeight="1">
      <c r="A43" s="14"/>
      <c r="B43" s="14"/>
      <c r="C43" s="198"/>
      <c r="D43" s="198"/>
      <c r="E43" s="198"/>
      <c r="F43" s="198"/>
      <c r="G43" s="198"/>
      <c r="H43" s="198"/>
      <c r="I43" s="198"/>
      <c r="J43" s="198"/>
      <c r="K43" s="198"/>
      <c r="L43" s="198"/>
      <c r="M43" s="198"/>
      <c r="N43" s="198"/>
      <c r="O43" s="198"/>
      <c r="P43" s="14"/>
      <c r="T43" s="3" t="str">
        <f>T39&amp;"."</f>
        <v>.</v>
      </c>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row>
    <row r="44" spans="1:124" ht="15" customHeight="1">
      <c r="A44" s="14"/>
      <c r="B44" s="14"/>
      <c r="C44" s="198"/>
      <c r="D44" s="198"/>
      <c r="E44" s="198"/>
      <c r="F44" s="198"/>
      <c r="G44" s="198"/>
      <c r="H44" s="198"/>
      <c r="I44" s="198"/>
      <c r="J44" s="198"/>
      <c r="K44" s="198"/>
      <c r="L44" s="198"/>
      <c r="M44" s="198"/>
      <c r="N44" s="198"/>
      <c r="O44" s="198"/>
      <c r="P44" s="14"/>
      <c r="Q44" s="3">
        <v>2</v>
      </c>
      <c r="W44" s="3">
        <f>LEN(X44)</f>
        <v>120</v>
      </c>
      <c r="X44" s="3" t="s">
        <v>14</v>
      </c>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row>
    <row r="45" spans="1:124" s="2" customFormat="1" ht="15" hidden="1" customHeight="1">
      <c r="A45" s="3"/>
      <c r="B45" s="3"/>
      <c r="C45" s="3"/>
      <c r="D45" s="3"/>
      <c r="E45" s="3"/>
      <c r="F45" s="3"/>
      <c r="G45" s="3"/>
      <c r="H45" s="4"/>
      <c r="I45" s="4"/>
      <c r="J45" s="4"/>
      <c r="K45" s="4"/>
      <c r="L45" s="3"/>
      <c r="M45" s="3"/>
      <c r="N45" s="3"/>
      <c r="O45" s="3"/>
      <c r="P45" s="3"/>
      <c r="Q45" s="3"/>
      <c r="R45" s="3"/>
      <c r="S45" s="3"/>
      <c r="T45" s="3"/>
      <c r="U45" s="3"/>
      <c r="V45" s="3"/>
      <c r="W45" s="3">
        <f>LEN(X45)</f>
        <v>253</v>
      </c>
      <c r="X45" s="3" t="s">
        <v>15</v>
      </c>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row>
    <row r="46" spans="1:124" s="2" customFormat="1" ht="15" hidden="1" customHeight="1">
      <c r="A46" s="3"/>
      <c r="B46" s="3"/>
      <c r="C46" s="3"/>
      <c r="D46" s="3"/>
      <c r="E46" s="3"/>
      <c r="F46" s="3"/>
      <c r="G46" s="3"/>
      <c r="H46" s="3"/>
      <c r="I46" s="3"/>
      <c r="J46" s="3"/>
      <c r="K46" s="3"/>
      <c r="L46" s="3"/>
      <c r="M46" s="3"/>
      <c r="N46" s="3"/>
      <c r="O46" s="12">
        <v>1</v>
      </c>
      <c r="Q46" s="12" t="b">
        <f>IF(O46=1,TRUE,IF(O46=2,TRUE,IF($Q$65=FALSE,TRUE,FALSE)))</f>
        <v>1</v>
      </c>
      <c r="R46" s="3"/>
      <c r="S46" s="3"/>
      <c r="T46" s="3"/>
      <c r="U46" s="3"/>
      <c r="V46" s="3"/>
      <c r="W46" s="3">
        <f>LEN(X46)</f>
        <v>76</v>
      </c>
      <c r="X46" s="3" t="s">
        <v>60</v>
      </c>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row>
    <row r="47" spans="1:124" s="2" customFormat="1" ht="15" hidden="1" customHeight="1">
      <c r="A47" s="3"/>
      <c r="B47" s="3"/>
      <c r="C47" s="3"/>
      <c r="D47" s="3"/>
      <c r="E47" s="3"/>
      <c r="F47" s="3"/>
      <c r="G47" s="3"/>
      <c r="H47" s="3"/>
      <c r="I47" s="3"/>
      <c r="J47" s="3"/>
      <c r="K47" s="3"/>
      <c r="L47" s="3"/>
      <c r="M47" s="3"/>
      <c r="N47" s="3"/>
      <c r="O47" s="2">
        <v>1</v>
      </c>
      <c r="P47" s="13" t="s">
        <v>2</v>
      </c>
      <c r="Q47" s="3"/>
      <c r="R47" s="3"/>
      <c r="S47" s="3"/>
      <c r="T47" s="3"/>
      <c r="U47" s="3"/>
      <c r="V47" s="3"/>
      <c r="W47" s="3"/>
      <c r="X47" s="3" t="str">
        <f>CONCATENATE(X44,X45,X46)</f>
        <v>Ferdig utfylt skjema undertegnes av en juridisk ansvarlig person hos produsent, f.eks. teknisk sjef eller daglig leder. Det er viktig at opplysningene som oppgis her er korrekte, og det oppfordres til grundighet når man undersøker hvorvidt emisjonstester og/eller testrapporter viser at produktet tilfredsstiller de standardene og emisjonsgrensene som BREEAM-NOR har satt. Er produsenten i tvil, bør man benytte egne interne og eksterne konsulenter.</v>
      </c>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row>
    <row r="48" spans="1:124" s="2" customFormat="1" ht="15" hidden="1" customHeight="1">
      <c r="A48" s="3"/>
      <c r="B48" s="3"/>
      <c r="C48" s="3"/>
      <c r="D48" s="3"/>
      <c r="E48" s="3"/>
      <c r="F48" s="3"/>
      <c r="G48" s="3"/>
      <c r="H48" s="3"/>
      <c r="I48" s="3"/>
      <c r="J48" s="3"/>
      <c r="K48" s="3"/>
      <c r="L48" s="3"/>
      <c r="M48" s="3"/>
      <c r="N48" s="3"/>
      <c r="O48" s="2">
        <v>2</v>
      </c>
      <c r="P48" s="2" t="s">
        <v>1</v>
      </c>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row>
    <row r="49" spans="1:124" s="2" customFormat="1" ht="15" hidden="1" customHeight="1">
      <c r="A49" s="3"/>
      <c r="B49" s="3"/>
      <c r="C49" s="3"/>
      <c r="E49" s="3"/>
      <c r="F49" s="3"/>
      <c r="G49" s="3"/>
      <c r="H49" s="3"/>
      <c r="I49" s="3"/>
      <c r="J49" s="3"/>
      <c r="K49" s="3"/>
      <c r="L49" s="3"/>
      <c r="M49" s="3"/>
      <c r="N49" s="3"/>
      <c r="O49" s="2">
        <v>3</v>
      </c>
      <c r="P49" s="2" t="s">
        <v>0</v>
      </c>
      <c r="Q49" s="3"/>
      <c r="R49" s="3"/>
      <c r="S49" s="3" t="b">
        <f>IF(O46=3,TRUE,FALSE)</f>
        <v>0</v>
      </c>
      <c r="T49" s="3"/>
      <c r="U49" s="3"/>
      <c r="V49" s="3"/>
      <c r="W49" s="3">
        <f>LEN(X49)</f>
        <v>219</v>
      </c>
      <c r="X49" s="3" t="s">
        <v>16</v>
      </c>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row>
    <row r="50" spans="1:124" s="2" customFormat="1" ht="15" hidden="1" customHeight="1">
      <c r="A50" s="3"/>
      <c r="B50" s="3"/>
      <c r="C50" s="3"/>
      <c r="D50" s="3"/>
      <c r="E50" s="3"/>
      <c r="F50" s="3"/>
      <c r="G50" s="3"/>
      <c r="H50" s="3"/>
      <c r="I50" s="3"/>
      <c r="J50" s="3"/>
      <c r="K50" s="3"/>
      <c r="L50" s="3"/>
      <c r="M50" s="3"/>
      <c r="N50" s="3"/>
      <c r="O50" s="12">
        <v>1</v>
      </c>
      <c r="P50" s="2">
        <f>O46+O50</f>
        <v>2</v>
      </c>
      <c r="Q50" s="3"/>
      <c r="R50" s="3"/>
      <c r="S50" s="3"/>
      <c r="T50" s="3"/>
      <c r="U50" s="3"/>
      <c r="V50" s="3"/>
      <c r="W50" s="3">
        <f>LEN(X50)</f>
        <v>208</v>
      </c>
      <c r="X50" s="3" t="s">
        <v>92</v>
      </c>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row>
    <row r="51" spans="1:124" s="2" customFormat="1" ht="15" hidden="1" customHeight="1">
      <c r="A51" s="3"/>
      <c r="B51" s="3"/>
      <c r="C51" s="3"/>
      <c r="D51" s="3"/>
      <c r="E51" s="3"/>
      <c r="F51" s="3"/>
      <c r="G51" s="3"/>
      <c r="H51" s="3"/>
      <c r="I51" s="3"/>
      <c r="J51" s="3"/>
      <c r="K51" s="3"/>
      <c r="L51" s="3"/>
      <c r="M51" s="3"/>
      <c r="N51" s="3"/>
      <c r="O51" s="2">
        <v>1</v>
      </c>
      <c r="P51" s="13" t="str">
        <f>IF(O46=2,"- Velg -",IF(O46=3,"(Ikke påkrevd)",""))</f>
        <v/>
      </c>
      <c r="Q51" s="3"/>
      <c r="R51" s="3"/>
      <c r="S51" s="3"/>
      <c r="T51" s="3"/>
      <c r="U51" s="3"/>
      <c r="V51" s="3"/>
      <c r="W51" s="3">
        <f>LEN(X51)</f>
        <v>76</v>
      </c>
      <c r="X51" s="3" t="s">
        <v>59</v>
      </c>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row>
    <row r="52" spans="1:124" s="2" customFormat="1" ht="15" hidden="1" customHeight="1">
      <c r="A52" s="3"/>
      <c r="B52" s="3"/>
      <c r="C52" s="3"/>
      <c r="D52" s="3"/>
      <c r="E52" s="3"/>
      <c r="F52" s="3"/>
      <c r="G52" s="3"/>
      <c r="H52" s="3"/>
      <c r="I52" s="3"/>
      <c r="J52" s="5"/>
      <c r="K52" s="3"/>
      <c r="L52" s="3"/>
      <c r="M52" s="3"/>
      <c r="N52" s="3"/>
      <c r="O52" s="2">
        <v>2</v>
      </c>
      <c r="P52" s="2" t="str">
        <f>IF(O46=2,"For prosjekter registrert fra 14.03.2012 til 30.03.2013",IF(O46=3,"(Ikke påkrevd)",""))</f>
        <v/>
      </c>
      <c r="Q52" s="3"/>
      <c r="R52" s="3"/>
      <c r="S52" s="3"/>
      <c r="T52" s="3"/>
      <c r="U52" s="3"/>
      <c r="V52" s="3"/>
      <c r="W52" s="3">
        <f>LEN(X52)</f>
        <v>271</v>
      </c>
      <c r="X52" s="2" t="s">
        <v>96</v>
      </c>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row>
    <row r="53" spans="1:124" s="2" customFormat="1" ht="15" hidden="1" customHeight="1">
      <c r="A53" s="3"/>
      <c r="B53" s="3"/>
      <c r="C53" s="3"/>
      <c r="E53" s="3"/>
      <c r="F53" s="3"/>
      <c r="G53" s="3"/>
      <c r="H53" s="3"/>
      <c r="I53" s="3"/>
      <c r="J53" s="5"/>
      <c r="K53" s="3"/>
      <c r="L53" s="3"/>
      <c r="M53" s="3"/>
      <c r="N53" s="3"/>
      <c r="O53" s="2">
        <v>3</v>
      </c>
      <c r="P53" s="2" t="str">
        <f>IF(O46=2,"For prosjekter registrert etter 01.04.2013",IF(O46=3,"(Ikke påkrevd)",""))</f>
        <v/>
      </c>
      <c r="Q53" s="3"/>
      <c r="R53" s="3"/>
      <c r="S53" s="3"/>
      <c r="T53" s="3"/>
      <c r="U53" s="3"/>
      <c r="V53" s="3"/>
      <c r="W53" s="3"/>
      <c r="X53" s="3" t="str">
        <f>CONCATENATE(X49,X50,X51,X52)</f>
        <v>Ferdig utfylt skjema undertegnes av en juridisk ansvarlig person hos produsent, f.eks. teknisk sjef eller daglig leder. Stoffer som skal unngås kan ikke finnes i produktet, verken i fri, i bunden eller i naturlig form. Konsentrasjoner under grenseverdien på ≤ 0,1 % godtas. Det er forutsatt at informasjonen i A20-listen er kjent. Bemerk dato på deklarasjonsskjema må samsvare med gjeldende prosessnotat i det angitte tidsrom. For faste bygningsprodukter vil godkjent dokumentasjon være ett av følgende: Karakter 1-6 (grønn eller hvit) iht. ECOproduct (Norsk Byggtjeneste), Sintef Byggforsk Teknisk Godkjenning utarbeidet etter 1. januar 2010, Miljømerket Svanen eller EU-blomsten. For kjemiske produkter kan man også sjekke opp mot sikkerhetsdatabladet (SDS) for produktet.</v>
      </c>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row>
    <row r="54" spans="1:124" s="2" customFormat="1" ht="15" hidden="1" customHeight="1">
      <c r="A54" s="3"/>
      <c r="B54" s="3"/>
      <c r="C54" s="3"/>
      <c r="D54" s="3"/>
      <c r="E54" s="3"/>
      <c r="F54" s="3"/>
      <c r="G54" s="3"/>
      <c r="H54" s="3"/>
      <c r="I54" s="3"/>
      <c r="J54" s="5"/>
      <c r="K54" s="3"/>
      <c r="L54" s="3"/>
      <c r="M54" s="3"/>
      <c r="N54" s="3"/>
      <c r="P54" s="2" t="b">
        <f>IF(O46=1,IF(O50=1,TRUE,IF(O46=1,IF(O50=2,TRUE,FALSE))))</f>
        <v>1</v>
      </c>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row>
    <row r="55" spans="1:124" s="2" customFormat="1" ht="15" hidden="1" customHeight="1">
      <c r="A55" s="3"/>
      <c r="B55" s="3"/>
      <c r="C55" s="3"/>
      <c r="D55" s="3"/>
      <c r="E55" s="3"/>
      <c r="F55" s="3"/>
      <c r="G55" s="3"/>
      <c r="H55" s="3"/>
      <c r="I55" s="3"/>
      <c r="J55" s="5"/>
      <c r="K55" s="3"/>
      <c r="L55" s="3"/>
      <c r="M55" s="3"/>
      <c r="N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row>
    <row r="56" spans="1:124" s="2" customFormat="1" ht="15" hidden="1" customHeight="1">
      <c r="A56" s="3"/>
      <c r="B56" s="3"/>
      <c r="C56" s="3"/>
      <c r="D56" s="3"/>
      <c r="E56" s="3"/>
      <c r="F56" s="3"/>
      <c r="G56" s="3"/>
      <c r="H56" s="3"/>
      <c r="I56" s="3"/>
      <c r="J56" s="5"/>
      <c r="K56" s="3"/>
      <c r="L56" s="3"/>
      <c r="M56" s="3"/>
      <c r="N56" s="3"/>
      <c r="P56" s="2" t="s">
        <v>4</v>
      </c>
      <c r="Q56" s="3" t="s">
        <v>5</v>
      </c>
      <c r="R56" s="3" t="s">
        <v>3</v>
      </c>
      <c r="S56" s="3"/>
      <c r="T56" s="3"/>
      <c r="U56" s="3" t="s">
        <v>11</v>
      </c>
      <c r="V56" s="3"/>
      <c r="W56" s="3" t="s">
        <v>90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row>
    <row r="57" spans="1:124" s="2" customFormat="1" ht="15" hidden="1" customHeight="1">
      <c r="A57" s="3"/>
      <c r="B57" s="3"/>
      <c r="C57" s="3"/>
      <c r="D57" s="3"/>
      <c r="E57" s="3"/>
      <c r="F57" s="3"/>
      <c r="G57" s="3"/>
      <c r="H57" s="3"/>
      <c r="I57" s="3"/>
      <c r="J57" s="5"/>
      <c r="K57" s="3"/>
      <c r="L57" s="3"/>
      <c r="M57" s="3"/>
      <c r="N57" s="3"/>
      <c r="P57" s="2" t="b">
        <f>IF(O46=3,IF(O58=9,TRUE,FALSE))</f>
        <v>0</v>
      </c>
      <c r="Q57" s="3" t="b">
        <f>IF($O$46=3,IF($O$58=6,TRUE,FALSE))</f>
        <v>0</v>
      </c>
      <c r="R57" s="3" t="b">
        <f>IF($O$46=3,IF($O$58=3,TRUE,FALSE))</f>
        <v>0</v>
      </c>
      <c r="S57" s="3" t="b">
        <f>IF($O$46=3,IF($O$58=10,TRUE,FALSE))</f>
        <v>0</v>
      </c>
      <c r="T57" s="3" t="b">
        <f>IF($O$46=3,IF($O$58=7,TRUE,FALSE))</f>
        <v>0</v>
      </c>
      <c r="U57" s="3" t="b">
        <f>IF($O$46=2,IF($O$58=3,TRUE,FALSE))</f>
        <v>0</v>
      </c>
      <c r="V57" s="3"/>
      <c r="W57" s="3" t="s">
        <v>91</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row>
    <row r="58" spans="1:124" s="2" customFormat="1" ht="15" hidden="1" customHeight="1">
      <c r="A58" s="3"/>
      <c r="B58" s="3"/>
      <c r="C58" s="3"/>
      <c r="D58" s="5"/>
      <c r="E58" s="5"/>
      <c r="F58" s="5"/>
      <c r="G58" s="5"/>
      <c r="H58" s="5"/>
      <c r="I58" s="5"/>
      <c r="J58" s="5"/>
      <c r="K58" s="3"/>
      <c r="L58" s="3"/>
      <c r="M58" s="3"/>
      <c r="N58" s="3"/>
      <c r="O58" s="12">
        <v>1</v>
      </c>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176" t="s">
        <v>12</v>
      </c>
      <c r="BA58" s="176"/>
      <c r="BB58" s="176"/>
      <c r="BC58" s="3"/>
      <c r="BD58" s="3"/>
      <c r="BE58" s="3"/>
      <c r="BF58" s="3"/>
      <c r="BG58" s="3"/>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row>
    <row r="59" spans="1:124" s="2" customFormat="1" ht="15" hidden="1" customHeight="1">
      <c r="A59" s="3"/>
      <c r="B59" s="3"/>
      <c r="C59" s="3"/>
      <c r="D59" s="3"/>
      <c r="E59" s="3"/>
      <c r="F59" s="3"/>
      <c r="G59" s="3"/>
      <c r="H59" s="3"/>
      <c r="I59" s="3"/>
      <c r="J59" s="3"/>
      <c r="K59" s="3"/>
      <c r="L59" s="3"/>
      <c r="M59" s="3"/>
      <c r="N59" s="3"/>
      <c r="O59" s="2">
        <v>1</v>
      </c>
      <c r="P59" s="13" t="str">
        <f>IF(O46=2,"- Velg -",IF(O46=3,"- Velg -",""))</f>
        <v/>
      </c>
      <c r="Q59" s="6" t="s">
        <v>12</v>
      </c>
      <c r="R59" s="3" t="s">
        <v>89</v>
      </c>
      <c r="S59" s="3" t="s">
        <v>88</v>
      </c>
      <c r="T59" s="4"/>
      <c r="U59" s="4"/>
      <c r="V59" s="4"/>
      <c r="W59" s="4"/>
      <c r="X59" s="4"/>
      <c r="Y59" s="4"/>
      <c r="Z59" s="4"/>
      <c r="AA59" s="3"/>
      <c r="AB59" s="4"/>
      <c r="AC59" s="4"/>
      <c r="AD59" s="4"/>
      <c r="AE59" s="4"/>
      <c r="AF59" s="4"/>
      <c r="AG59" s="4"/>
      <c r="AH59" s="4"/>
      <c r="AI59" s="4"/>
      <c r="AJ59" s="4"/>
      <c r="AK59" s="4"/>
      <c r="AL59" s="4"/>
      <c r="AM59" s="4"/>
      <c r="AN59" s="4"/>
      <c r="AO59" s="4"/>
      <c r="AP59" s="4"/>
      <c r="AQ59" s="4"/>
      <c r="AR59" s="4"/>
      <c r="AS59" s="4"/>
      <c r="AT59" s="4"/>
      <c r="AU59" s="4"/>
      <c r="AV59" s="4"/>
      <c r="AW59" s="4"/>
      <c r="AX59" s="4"/>
      <c r="AY59" s="4"/>
      <c r="AZ59" s="4" t="s">
        <v>21</v>
      </c>
      <c r="BA59" s="4" t="s">
        <v>22</v>
      </c>
      <c r="BB59" s="4" t="s">
        <v>23</v>
      </c>
      <c r="BC59" s="3"/>
      <c r="BD59" s="3"/>
      <c r="BE59" s="3"/>
      <c r="BF59" s="3"/>
      <c r="BG59" s="3"/>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row>
    <row r="60" spans="1:124" s="2" customFormat="1" ht="15" hidden="1" customHeight="1">
      <c r="A60" s="3"/>
      <c r="B60" s="3"/>
      <c r="C60" s="3"/>
      <c r="D60" s="3"/>
      <c r="E60" s="3"/>
      <c r="F60" s="3"/>
      <c r="G60" s="3"/>
      <c r="H60" s="3"/>
      <c r="I60" s="3"/>
      <c r="J60" s="3"/>
      <c r="K60" s="3"/>
      <c r="L60" s="3"/>
      <c r="M60" s="3"/>
      <c r="N60" s="3"/>
      <c r="O60" s="2">
        <v>2</v>
      </c>
      <c r="P60" s="13" t="str">
        <f>IF(O46=2,"Bygningsplater",IF(O46=3,"Fugemasser",""))</f>
        <v/>
      </c>
      <c r="Q60" s="3" t="b">
        <f>IF($O$46=3,IF($O$58=2,TRUE,FALSE))</f>
        <v>0</v>
      </c>
      <c r="R60" s="3" t="b">
        <f>IF($O$46=2,IF($O$50=3,IF($O$58=2,TRUE,FALSE)))</f>
        <v>0</v>
      </c>
      <c r="S60" s="3" t="b">
        <f>IF($O$46=2,IF($O$50=2,IF($O$58=2,TRUE,FALSE)))</f>
        <v>0</v>
      </c>
      <c r="T60" s="7" t="str">
        <f>IF($Q$60=TRUE,"fugemasser",IF(R60=TRUE,"bygningsplater",IF(S60=TRUE,"bygningsplater","")))</f>
        <v/>
      </c>
      <c r="U60" s="7" t="str">
        <f>IF($Q$60=TRUE,"1.",IF($R$60=TRUE,"1.",IF(S60=TRUE,"1.","")))</f>
        <v/>
      </c>
      <c r="V60" s="7" t="str">
        <f>IF($Q$60=TRUE,"Produktet har en emisjonstest som viser at emisjoner av TVOC er under 0,2 mg/m²h ¹⁾  ²⁾",IF(R60=TRUE,"Arsen",IF(S60=TRUE,"Arsen","")))</f>
        <v/>
      </c>
      <c r="W60" s="7" t="str">
        <f>IF($Q$60=TRUE,"NS-EN 15251:2007 (Tillegg C)","")</f>
        <v/>
      </c>
      <c r="X60" s="4" t="str">
        <f>IF($Q$60=TRUE,"2.",IF(R60=TRUE,"2.",IF(S60=TRUE,"2.","")))</f>
        <v/>
      </c>
      <c r="Y60" s="4" t="str">
        <f>IF($Q$60=TRUE,"Produktet har en emisjonstest som viser at emisjoner av formaldehyd er under 0,05 mg/m²h ¹⁾  ²⁾",IF(R60=TRUE,"Bly",IF(S60=TRUE,"Bly","")))</f>
        <v/>
      </c>
      <c r="Z60" s="4" t="str">
        <f>IF($Q$60=TRUE,"NS-EN 15251:2007 (Tillegg C)","")</f>
        <v/>
      </c>
      <c r="AA60" s="3"/>
      <c r="AB60" s="4" t="str">
        <f>IF($Q$60=TRUE,"3.a",IF(R60=TRUE,"3.",IF(S60=TRUE,"3.","")))</f>
        <v/>
      </c>
      <c r="AC60" s="4" t="str">
        <f>IF($Q$60=TRUE,"Produktet har en emisjonstest som viser at emisjoner av ammoniakk er under 0,03 mg/m²h ¹⁾  ²⁾  ³⁾",IF(R60=TRUE,"Bromerte flammehemmere (HBCDD, TBBPA)",IF(S60=TRUE,"Bromerte flammehemmere (HBCDD, TBBPA)","")))</f>
        <v/>
      </c>
      <c r="AD60" s="4" t="str">
        <f>IF($Q$60=TRUE,"NS-EN 15251:2007 (Tillegg C)","")</f>
        <v/>
      </c>
      <c r="AE60" s="4" t="str">
        <f>IF($Q$60=TRUE,"3.b",IF(R60=TRUE,"4.",IF(S60=TRUE,"4.","")))</f>
        <v/>
      </c>
      <c r="AF60" s="4" t="str">
        <f>IF($Q$60=TRUE,"Produktet har ikke en emisjonstest som måler emisjoner av ammoniakk, men undertegnede kan bekrefte:
1)   at ammoniakk ikke er sporbart aktivt i produktet, OG
2)   at produktet ikke inneholder stoffer som kan avspaltes til ammoniakk",IF($R$60=TRUE,"Ftalat DEHP",IF($S$60=TRUE,"Ftalatene DEHP, BBP og DBP","")))</f>
        <v/>
      </c>
      <c r="AG60" s="4" t="str">
        <f>IF($Q$60=TRUE,"","")</f>
        <v/>
      </c>
      <c r="AH60" s="4" t="str">
        <f>IF($Q$60=TRUE,"4.",IF(R60=TRUE,"5.",IF(S60=TRUE,"5.","")))</f>
        <v/>
      </c>
      <c r="AI60" s="4" t="str">
        <f>IF($Q$60=TRUE,"Produktet har en emisjonstest som viser at emisjoner av kreftfremkallende forbindelser (IARC) er under 0,005 mg/m²h ¹⁾  ²⁾",IF(R60=TRUE,"Krom",IF(S60=TRUE,"Krom","")))</f>
        <v/>
      </c>
      <c r="AJ60" s="4" t="str">
        <f>IF($Q$60=TRUE,"NS-EN 15251:2007 (Tillegg C)","")</f>
        <v/>
      </c>
      <c r="AK60" s="4" t="str">
        <f>IF($Q$60=TRUE,"5.",IF(R60=TRUE,"6.",IF(S60=TRUE,"6.","")))</f>
        <v/>
      </c>
      <c r="AL60" s="4" t="str">
        <f>IF($Q$60=TRUE,"Produktet har en emisjonstest som viser at misnøye med lukt er under 15%. Gjelder kun hvis relevant for produktet ¹⁾",IF(R60=TRUE,"Oktyl-/nonylfenoler",IF(S60=TRUE,"Oktyl-/nonylfenoler","")))</f>
        <v/>
      </c>
      <c r="AM60" s="4" t="str">
        <f>IF($Q$60=TRUE,"NS-EN 15251:2007 (Tillegg C)","")</f>
        <v/>
      </c>
      <c r="AN60" s="4" t="str">
        <f>IF($Q$60=TRUE,"6.",IF($R$60=TRUE,"7.",IF($S$60=TRUE,"7.","")))</f>
        <v/>
      </c>
      <c r="AO60" s="4" t="str">
        <f>IF($Q$60=TRUE,"Testene i punkt 1–5 er utført iht. ISO 16000-serien med målinger gjort etter 28 dager",IF($R$60=TRUE,"Bisfenol A ¹⁾",IF($S$60=TRUE,"Bisfenol A ¹⁾","")))</f>
        <v/>
      </c>
      <c r="AP60" s="4" t="str">
        <f>IF($Q$60=TRUE,"ISO 16000","")</f>
        <v/>
      </c>
      <c r="AQ60" s="4"/>
      <c r="AR60" s="4"/>
      <c r="AS60" s="4"/>
      <c r="AT60" s="4"/>
      <c r="AU60" s="4"/>
      <c r="AV60" s="4"/>
      <c r="AW60" s="4"/>
      <c r="AX60" s="4"/>
      <c r="AY60" s="4"/>
      <c r="AZ60" s="4" t="str">
        <f>IF(Q60=TRUE,"¹⁾ Under «Vanlig stilte spørsmål» på www.ngbc.no gis hjelp til å vurdere ulike kjente emisjonssertifikater opp mot kravene i NS-EN 15251.",IF(BC60=TRUE,"¹⁾ Gjelder bygningsplater i polykarbonat (all polykarbonat inneholder bisfenol A).",""))</f>
        <v/>
      </c>
      <c r="BA60" s="4" t="str">
        <f>IF(Q60=TRUE,"²⁾ Merk at emisjonene her er oppgitt i mg/m²h. De fleste emisjonssertifikater oppgir emisjoner i mg/m³. Det finnes en metode for å konvertere disse slik at man kan sammenligne resultater. Deres foretrukne laboratorium kan bistå dere med dette.","")</f>
        <v/>
      </c>
      <c r="BB60" s="4" t="str">
        <f>IF(Q60=TRUE,"³⁾ Merk at M1 er den eneste kjente emisjonsmerkeordningen der ammoniakk inngår som en av de emisjonene som måles.","")</f>
        <v/>
      </c>
      <c r="BC60" s="3" t="b">
        <f>OR(R60,S60)</f>
        <v>0</v>
      </c>
      <c r="BD60" s="3"/>
      <c r="BE60" s="3"/>
      <c r="BF60" s="3"/>
      <c r="BG60" s="3"/>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row>
    <row r="61" spans="1:124" s="2" customFormat="1" ht="15" hidden="1" customHeight="1">
      <c r="A61" s="3"/>
      <c r="B61" s="3"/>
      <c r="C61" s="3"/>
      <c r="D61" s="3"/>
      <c r="E61" s="3"/>
      <c r="F61" s="3"/>
      <c r="G61" s="3"/>
      <c r="H61" s="3"/>
      <c r="I61" s="3"/>
      <c r="J61" s="3"/>
      <c r="K61" s="3"/>
      <c r="L61" s="3"/>
      <c r="M61" s="3"/>
      <c r="N61" s="3"/>
      <c r="O61" s="2">
        <v>3</v>
      </c>
      <c r="P61" s="13" t="str">
        <f>IF(O46=2,"Tapet",IF(O46=3,"Halvharde gulvbelegg, tekstile gulvbelegg og laminatgulv",""))</f>
        <v/>
      </c>
      <c r="Q61" s="3" t="b">
        <f>IF($O$46=3,IF($O$58=3,TRUE,FALSE))</f>
        <v>0</v>
      </c>
      <c r="R61" s="3" t="b">
        <f>IF($O$46=2,IF($O$50=3,IF($O$58=3,TRUE,FALSE)))</f>
        <v>0</v>
      </c>
      <c r="S61" s="3" t="b">
        <f>IF($O$46=2,IF($O$50=2,IF($O$58=3,TRUE,FALSE)))</f>
        <v>0</v>
      </c>
      <c r="T61" s="7" t="str">
        <f>IF(Q61=TRUE,"halvharde gulvbelegg, tekstile gulvbelegg og laminatgulv",IF(R61=TRUE,"tapeter",IF(S61=TRUE,"tapeter","")))</f>
        <v/>
      </c>
      <c r="U61" s="7" t="str">
        <f>IF($Q$61=TRUE,"1.a",IF(R61=TRUE,"1.",IF(S61=TRUE,"1.","")))</f>
        <v/>
      </c>
      <c r="V61" s="7" t="str">
        <f>IF($Q$61=TRUE,"Produktet kan klassifiseres som E1 iht. testmetode EN 717-1:2004",IF(R61=TRUE,"Arsen",IF(S61=TRUE,"Arsen","")))</f>
        <v/>
      </c>
      <c r="W61" s="7" t="str">
        <f>IF($Q$61=TRUE,"EN 14041:2004
EN 717-1:2004","")</f>
        <v/>
      </c>
      <c r="X61" s="4" t="str">
        <f>IF($Q$61=TRUE,"1.b",IF(R61=TRUE,"2.",IF(S61=TRUE,"2.","")))</f>
        <v/>
      </c>
      <c r="Y61" s="4" t="str">
        <f>IF($Q$61=TRUE,"Undertegnede kan bekrefte at produktet ikke er tilsatt noen materialer som inneholder formaldehyd under produksjon eller ved bearbeiding etter produksjonen. Disse kan klassifiseres som E1 uten prøving",IF(R61=TRUE,"Bly",IF(S61=TRUE,"Bly","")))</f>
        <v/>
      </c>
      <c r="Z61" s="4" t="str">
        <f>IF($Q$61=TRUE,"Se EN 14041:2004 for detaljert informasjon om dette.","")</f>
        <v/>
      </c>
      <c r="AA61" s="3"/>
      <c r="AB61" s="4" t="str">
        <f>IF($Q$61=TRUE,"2.",IF(R61=TRUE,"3.",IF(S61=TRUE,"3.","")))</f>
        <v/>
      </c>
      <c r="AC61" s="4" t="str">
        <f>IF($Q$61=TRUE,"Produktet har en emisjonstest som viser at emisjoner av TVOC er under 0,2 mg/m²h ¹⁾  ²⁾",IF(R61=TRUE,"Bromerte flammehemmere (HBCDD, TBBPA)",IF(S61=TRUE,"Bromerte flammehemmere (HBCDD, TBBPA)","")))</f>
        <v/>
      </c>
      <c r="AD61" s="4" t="str">
        <f>IF($Q$61=TRUE,"NS-EN 15251:2007 (Tillegg C)","")</f>
        <v/>
      </c>
      <c r="AE61" s="4" t="str">
        <f>IF($Q$61=TRUE,"3.",IF(R61=TRUE,"4.",IF(S61=TRUE,"4.","")))</f>
        <v/>
      </c>
      <c r="AF61" s="4" t="str">
        <f>IF($Q$61=TRUE,"Produktet har ikke en emisjonstest som måler emisjoner av ammoniakk, men undertegnede kan bekrefte:
1)   at ammoniakk ikke er sporbart aktivt i produktet, OG
2)   at produktet ikke inneholder stoffer som kan avspaltes til ammoniakk",IF($R$61=TRUE,"Ftalat DEHP",IF($S$61=TRUE,"Ftalatene DEHP, BBP og DBP","")))</f>
        <v/>
      </c>
      <c r="AG61" s="4" t="str">
        <f>IF($Q$61=TRUE,"","")</f>
        <v/>
      </c>
      <c r="AH61" s="4" t="str">
        <f>IF($Q$61=TRUE,"4.a",IF(R61=TRUE,"5.",IF(S61=TRUE,"5.","")))</f>
        <v/>
      </c>
      <c r="AI61" s="4" t="str">
        <f>IF($Q$61=TRUE,"Produktet har en emisjonstest som viser at emisjoner av ammoniakk er under 0,03 mg/m²h ¹⁾  ²⁾  ³⁾",IF(R61=TRUE,"Mellomkjedede klorparafiner",IF(S61=TRUE,"Mellomkjedede klorparafiner","")))</f>
        <v/>
      </c>
      <c r="AJ61" s="4" t="str">
        <f>IF($Q$61=TRUE,"NS-EN 15251:2007 (Tillegg C)","")</f>
        <v/>
      </c>
      <c r="AK61" s="4" t="str">
        <f>IF($Q$61=TRUE,"4.b","")</f>
        <v/>
      </c>
      <c r="AL61" s="4" t="str">
        <f>IF($Q$61=TRUE,"Produktet har en emisjonstest som viser at misnøye med lukt er under 15%. Gjelder kun hvis relevant for produktet ¹⁾","")</f>
        <v/>
      </c>
      <c r="AM61" s="4" t="str">
        <f>IF($Q$61=TRUE,"NS-EN 15251:2007 (Tillegg C)","")</f>
        <v/>
      </c>
      <c r="AN61" s="4" t="str">
        <f>IF($Q$61=TRUE,"5.","")</f>
        <v/>
      </c>
      <c r="AO61" s="4" t="str">
        <f>IF($Q$61=TRUE,"Produktet har en emisjonstest som viser at emisjoner av kreftfremkallende forbindelser (IARC) er under 0,005 mg/m²h ¹⁾  ²⁾","")</f>
        <v/>
      </c>
      <c r="AP61" s="4" t="str">
        <f>IF($Q$61=TRUE,"NS-EN 15251:2007 (Tillegg C)","")</f>
        <v/>
      </c>
      <c r="AQ61" s="4" t="str">
        <f>IF($Q$61=TRUE,"6.","")</f>
        <v/>
      </c>
      <c r="AR61" s="4" t="str">
        <f>IF($Q$61=TRUE,"Produktet har en emisjonstest som viser at emisjoner av formaldehyd er under 0,05 mg/m²h ¹⁾  ²⁾","")</f>
        <v/>
      </c>
      <c r="AS61" s="4" t="str">
        <f>IF($Q$61=TRUE,"NS-EN 15251:2007 (Tillegg C)","")</f>
        <v/>
      </c>
      <c r="AT61" s="4" t="str">
        <f>IF($Q$61=TRUE,"7.","")</f>
        <v/>
      </c>
      <c r="AU61" s="4" t="str">
        <f>IF($Q$61=TRUE,"Testene i punkt 2–6 er utført iht. ISO 16000-serien med målinger gjort etter 28 dager","")</f>
        <v/>
      </c>
      <c r="AV61" s="4" t="str">
        <f>IF($Q$61=TRUE,"ISO 16000","")</f>
        <v/>
      </c>
      <c r="AW61" s="4" t="str">
        <f>IF($Q$61=TRUE,"8.","")</f>
        <v/>
      </c>
      <c r="AX61" s="4" t="str">
        <f>IF($Q$61=TRUE,"Undertegnede kan bekrefte fravær av regulerte impregneringsmidler og at minimumsnivå er overholdt","")</f>
        <v/>
      </c>
      <c r="AY61" s="4" t="str">
        <f>IF($Q$61=TRUE,"EN 14041:2004","")</f>
        <v/>
      </c>
      <c r="AZ61" s="4" t="str">
        <f>IF(Q61=TRUE,"¹⁾ Under «Vanlig stilte spørsmål» på www.ngbc.no gis hjelp til å vurdere ulike kjente emisjonssertifikater opp mot kravene i NS-EN 15251.","")</f>
        <v/>
      </c>
      <c r="BA61" s="4" t="str">
        <f>IF(Q61=TRUE,"²⁾ Merk at emisjonene her er oppgitt i mg/m²h. De fleste emisjonssertifikater oppgir emisjoner i mg/m³. Det finnes en metode for å konvertere disse slik at man kan sammenligne resultater. Deres foretrukne laboratorium kan bistå dere med dette.","")</f>
        <v/>
      </c>
      <c r="BB61" s="4" t="str">
        <f>IF(Q61=TRUE,"³⁾ Merk at M1 er den eneste kjente emisjonsmerkeordningen der ammoniakk inngår som en av de emisjonene som måles.","")</f>
        <v/>
      </c>
      <c r="BC61" s="3" t="b">
        <f t="shared" ref="BC61:BC67" si="0">OR(R61,S61)</f>
        <v>0</v>
      </c>
      <c r="BD61" s="3"/>
      <c r="BE61" s="3"/>
      <c r="BF61" s="3"/>
      <c r="BG61" s="3"/>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row>
    <row r="62" spans="1:124" s="2" customFormat="1" ht="15" hidden="1" customHeight="1">
      <c r="A62" s="3"/>
      <c r="B62" s="3"/>
      <c r="C62" s="3"/>
      <c r="D62" s="3"/>
      <c r="E62" s="3"/>
      <c r="F62" s="3"/>
      <c r="G62" s="3"/>
      <c r="H62" s="3"/>
      <c r="I62" s="3"/>
      <c r="J62" s="3"/>
      <c r="K62" s="3"/>
      <c r="L62" s="3"/>
      <c r="M62" s="3"/>
      <c r="N62" s="3"/>
      <c r="O62" s="2">
        <v>4</v>
      </c>
      <c r="P62" s="13" t="str">
        <f>IF(O46=2,"Tepper",IF(O46=3,"Gulvlim",""))</f>
        <v/>
      </c>
      <c r="Q62" s="3" t="b">
        <f>IF($O$46=3,IF($O$58=4,TRUE,FALSE))</f>
        <v>0</v>
      </c>
      <c r="R62" s="3" t="b">
        <f>IF($O$46=2,IF($O$50=3,IF($O$58=4,TRUE,FALSE)))</f>
        <v>0</v>
      </c>
      <c r="S62" s="3" t="b">
        <f>IF($O$46=2,IF($O$50=2,IF($O$58=4,TRUE,FALSE)))</f>
        <v>0</v>
      </c>
      <c r="T62" s="7" t="str">
        <f>IF(Q62=TRUE,"gulvlim",IF(R62=TRUE,"tepper",IF(S62=TRUE,"tepper","")))</f>
        <v/>
      </c>
      <c r="U62" s="7" t="str">
        <f>IF($Q$62=TRUE,"1.",IF(R62=TRUE,"1.",IF(S62=TRUE,"1.","")))</f>
        <v/>
      </c>
      <c r="V62" s="7" t="str">
        <f>IF($Q$62=TRUE,"Produktet har en emisjonstest som viser at emisjoner av TVOC er under 0,2 mg/m²h ¹⁾  ²⁾",IF(R62=TRUE,"PFOS/PFOA ¹⁾",IF(S62=TRUE,"PFOS/PFOA ¹⁾","")))</f>
        <v/>
      </c>
      <c r="W62" s="7" t="str">
        <f>IF($Q$62=TRUE,"NS-EN 15251:2007 (Tillegg C)","")</f>
        <v/>
      </c>
      <c r="X62" s="4" t="str">
        <f>IF($Q$62=TRUE,"2.","")</f>
        <v/>
      </c>
      <c r="Y62" s="4" t="str">
        <f>IF($Q$62=TRUE,"Produktet har en emisjonstest som viser at emisjoner av formaldehyd er under 0,05 mg/m²h ¹⁾  ²⁾","")</f>
        <v/>
      </c>
      <c r="Z62" s="4" t="str">
        <f>IF($Q$62=TRUE,"NS-EN 15251:2007 (Tillegg C)","")</f>
        <v/>
      </c>
      <c r="AA62" s="3"/>
      <c r="AB62" s="4" t="str">
        <f>IF($Q$62=TRUE,"3.a","")</f>
        <v/>
      </c>
      <c r="AC62" s="4" t="str">
        <f>IF($Q$62=TRUE,"Produktet har en emisjonstest som viser at emisjoner av ammoniakk er under 0,03 mg/m²h ¹⁾  ²⁾  ³⁾","")</f>
        <v/>
      </c>
      <c r="AD62" s="4" t="str">
        <f>IF($Q$62=TRUE,"NS-EN 15251:2007 (Tillegg C)","")</f>
        <v/>
      </c>
      <c r="AE62" s="4" t="str">
        <f>IF($Q$62=TRUE,"3.b","")</f>
        <v/>
      </c>
      <c r="AF62" s="4" t="str">
        <f>IF($Q$62=TRUE,"Produktet har ikke en emisjonstest som måler emisjoner av ammoniakk, men undertegnede kan bekrefte:
1)   at ammoniakk ikke er sporbart aktivt i produktet, OG
2)   at produktet ikke inneholder stoffer som kan avspaltes til ammoniakk","")</f>
        <v/>
      </c>
      <c r="AG62" s="4" t="str">
        <f>IF($Q$62=TRUE,"","")</f>
        <v/>
      </c>
      <c r="AH62" s="4" t="str">
        <f>IF($Q$62=TRUE,"4.","")</f>
        <v/>
      </c>
      <c r="AI62" s="4" t="str">
        <f>IF($Q$62=TRUE,"Produktet har en emisjonstest som viser at emisjoner av kreftfremkallende forbindelser (IARC) er under 0,005 mg/m²h ¹⁾  ²⁾","")</f>
        <v/>
      </c>
      <c r="AJ62" s="4" t="str">
        <f>IF($Q$62=TRUE,"NS-EN 15251:2007 (Tillegg C)","")</f>
        <v/>
      </c>
      <c r="AK62" s="4" t="str">
        <f>IF($Q$62=TRUE,"5.","")</f>
        <v/>
      </c>
      <c r="AL62" s="4" t="str">
        <f>IF($Q$62=TRUE,"Produktet har en emisjonstest som viser at misnøye med lukt er under 15%. Gjelder kun hvis relevant for produktet ¹⁾","")</f>
        <v/>
      </c>
      <c r="AM62" s="4" t="str">
        <f>IF($Q$62=TRUE,"NS-EN 15251:2007 (Tillegg C)","")</f>
        <v/>
      </c>
      <c r="AN62" s="4" t="str">
        <f>IF($Q$62=TRUE,"6.","")</f>
        <v/>
      </c>
      <c r="AO62" s="4" t="str">
        <f>IF($Q$62=TRUE,"Testene i punkt 1-5 er utført iht. ISO 16000-serien med målinger gjort etter 28 dager","")</f>
        <v/>
      </c>
      <c r="AP62" s="4" t="str">
        <f>IF($Q$62=TRUE,"ISO 16000","")</f>
        <v/>
      </c>
      <c r="AQ62" s="4" t="str">
        <f>IF($Q$62=TRUE,"7.","")</f>
        <v/>
      </c>
      <c r="AR62" s="4" t="str">
        <f>IF($Q$62=TRUE,"Produktet har utført tester iht. følgende standarder, og kan bekrefte fravær av kreft- og allergifremkallende stoffer:
-  EN 13999-2:2007 – VOC
-  EN 13999-3:2007 – Flyktige aldehyder
-  EN 13999-4:2007 – Flyktige diisocyanater","")</f>
        <v/>
      </c>
      <c r="AS62" s="4" t="str">
        <f>IF($Q$62=TRUE,"EN 13999-1 :2007
EN 13999-2:2007
EN 13999-3:2007
EN 13999-4:2007","")</f>
        <v/>
      </c>
      <c r="AT62" s="4"/>
      <c r="AU62" s="4"/>
      <c r="AV62" s="4"/>
      <c r="AW62" s="4"/>
      <c r="AX62" s="4"/>
      <c r="AY62" s="4"/>
      <c r="AZ62" s="4" t="str">
        <f>IF(Q62=TRUE,"¹⁾ Under «Vanlig stilte spørsmål» på www.ngbc.no gis hjelp til å vurdere ulike kjente emisjonssertifikater opp mot kravene i NS-EN 15251.","")</f>
        <v/>
      </c>
      <c r="BA62" s="4" t="str">
        <f>IF(Q62=TRUE,"²⁾ Merk at emisjonene her er oppgitt i mg/m²h. De fleste emisjonssertifikater oppgir emisjoner i mg/m³. Det finnes en metode for å konvertere disse slik at man kan sammenligne resultater. Deres foretrukne laboratorium kan bistå dere med dette.","")</f>
        <v/>
      </c>
      <c r="BB62" s="4" t="str">
        <f>IF(Q62=TRUE,"³⁾ Merk at M1 er den eneste kjente emisjonsmerkeordningen der ammoniakk inngår som en av de emisjonene som måles.","")</f>
        <v/>
      </c>
      <c r="BC62" s="3" t="b">
        <f t="shared" si="0"/>
        <v>0</v>
      </c>
      <c r="BD62" s="3"/>
      <c r="BE62" s="3"/>
      <c r="BF62" s="3"/>
      <c r="BG62" s="3"/>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row>
    <row r="63" spans="1:124" s="2" customFormat="1" ht="15" hidden="1" customHeight="1">
      <c r="A63" s="3"/>
      <c r="B63" s="3"/>
      <c r="C63" s="3"/>
      <c r="D63" s="3"/>
      <c r="E63" s="3"/>
      <c r="F63" s="3"/>
      <c r="G63" s="3"/>
      <c r="H63" s="3"/>
      <c r="I63" s="3"/>
      <c r="J63" s="3"/>
      <c r="K63" s="3"/>
      <c r="L63" s="5"/>
      <c r="M63" s="5"/>
      <c r="N63" s="3"/>
      <c r="O63" s="2">
        <v>5</v>
      </c>
      <c r="P63" s="13" t="str">
        <f>IF(O46=2,"Trevirke",IF(O46=3,"Himlingsplater",""))</f>
        <v/>
      </c>
      <c r="Q63" s="3" t="b">
        <f>IF($O$46=3,IF($O$58=5,TRUE,FALSE))</f>
        <v>0</v>
      </c>
      <c r="R63" s="3" t="b">
        <f>IF($O$46=2,IF($O$50=3,IF($O$58=5,TRUE,FALSE)))</f>
        <v>0</v>
      </c>
      <c r="S63" s="3" t="b">
        <f>IF($O$46=2,IF($O$50=2,IF($O$58=5,TRUE,FALSE)))</f>
        <v>0</v>
      </c>
      <c r="T63" s="7" t="str">
        <f>IF(Q63=TRUE,"himlingsplater",IF(R63=TRUE,"trevirke",IF(S63=TRUE,"trevirke","")))</f>
        <v/>
      </c>
      <c r="U63" s="7" t="str">
        <f>IF($Q$63=TRUE,"1.a",IF(R63=TRUE,"1.",IF(S63=TRUE,"1.","")))</f>
        <v/>
      </c>
      <c r="V63" s="7" t="str">
        <f>IF($Q$63=TRUE,"Produktet kan klassifiseres som E1 iht. testmetode EN 717-1:2004",IF($R$63=TRUE,"Kreosot (PAH) ¹⁾",IF($S$63=TRUE,"Kreosot ¹⁾","")))</f>
        <v/>
      </c>
      <c r="W63" s="7" t="str">
        <f>IF($Q$63=TRUE,"EN 13964:2004
EN 717-1:2004","")</f>
        <v/>
      </c>
      <c r="X63" s="4" t="str">
        <f>IF($Q$63=TRUE,"1.b","")</f>
        <v/>
      </c>
      <c r="Y63" s="4" t="str">
        <f>IF($Q$63=TRUE,"Undertegnede kan bekrefte at produktet ikke er tilsatt noen materialer som inneholder formaldehyd under produksjon eller ved bearbeiding etter produksjonen. Disse kan klassifiseres som E1 uten prøving","")</f>
        <v/>
      </c>
      <c r="Z63" s="4" t="str">
        <f>IF($Q$63=TRUE,"Se NS-EN 13964:2004 for detaljert informasjon om dette","")</f>
        <v/>
      </c>
      <c r="AA63" s="3"/>
      <c r="AB63" s="4" t="str">
        <f>IF($Q$63=TRUE,"2.","")</f>
        <v/>
      </c>
      <c r="AC63" s="4" t="str">
        <f>IF($Q$63=TRUE,"Produktet har en emisjonstest som viser at emisjoner av TVOC er under 0,2 mg/m²h ¹⁾  ²⁾","")</f>
        <v/>
      </c>
      <c r="AD63" s="4" t="str">
        <f>IF($Q$63=TRUE,"NS-EN 15251:2007 (Tillegg C)","")</f>
        <v/>
      </c>
      <c r="AE63" s="4" t="str">
        <f>IF($Q$63=TRUE,"3.","")</f>
        <v/>
      </c>
      <c r="AF63" s="4" t="str">
        <f>IF($Q$63=TRUE,"Produktet har ikke en emisjonstest som måler emisjoner av ammoniakk, men undertegnede kan bekrefte:
1)   at ammoniakk ikke er sporbart aktivt i produktet, OG
2)   at produktet ikke inneholder stoffer som kan avspaltes til ammoniakk","")</f>
        <v/>
      </c>
      <c r="AG63" s="4" t="str">
        <f>IF($Q$63=TRUE,"","")</f>
        <v/>
      </c>
      <c r="AH63" s="4" t="str">
        <f>IF($Q$63=TRUE,"4.a","")</f>
        <v/>
      </c>
      <c r="AI63" s="4" t="str">
        <f>IF($Q$63=TRUE,"Produktet har en emisjonstest som viser at emisjoner av ammoniakk er under 0,03 mg/m²h ¹⁾  ²⁾  ³⁾","")</f>
        <v/>
      </c>
      <c r="AJ63" s="4" t="str">
        <f>IF($Q$63=TRUE,"NS-EN 15251:2007 (Tillegg C)","")</f>
        <v/>
      </c>
      <c r="AK63" s="4" t="str">
        <f>IF($Q$63=TRUE,"4.b","")</f>
        <v/>
      </c>
      <c r="AL63" s="4" t="str">
        <f>IF($Q$63=TRUE,"Produktet har en emisjonstest som viser at misnøye med lukt er under 15%. Gjelder kun hvis relevant for produktet ¹⁾","")</f>
        <v/>
      </c>
      <c r="AM63" s="4" t="str">
        <f>IF($Q$63=TRUE,"NS-EN 15251:2007 (Tillegg C)","")</f>
        <v/>
      </c>
      <c r="AN63" s="4" t="str">
        <f>IF($Q$63=TRUE,"5.","")</f>
        <v/>
      </c>
      <c r="AO63" s="4" t="str">
        <f>IF($Q$63=TRUE,"Produktet har en emisjonstest som viser at emisjoner av kreftfremkallende forbindelser (IARC) er under 0,005 mg/m²h ¹⁾  ²⁾","")</f>
        <v/>
      </c>
      <c r="AP63" s="4" t="str">
        <f>IF($Q$63=TRUE,"NS-EN 15251:2007 (Tillegg C)","")</f>
        <v/>
      </c>
      <c r="AQ63" s="4" t="str">
        <f>IF($Q$63=TRUE,"6.","")</f>
        <v/>
      </c>
      <c r="AR63" s="4" t="str">
        <f>IF($Q$63=TRUE,"Produktet har en emisjonstest som viser at emisjoner av formaldehyd er under 0,05 mg/m²h ¹⁾  ²⁾","")</f>
        <v/>
      </c>
      <c r="AS63" s="4" t="str">
        <f>IF($Q$63=TRUE,"NS-EN 15251:2007 (Tillegg C)","")</f>
        <v/>
      </c>
      <c r="AT63" s="4" t="str">
        <f>IF($Q$63=TRUE,"7.","")</f>
        <v/>
      </c>
      <c r="AU63" s="4" t="str">
        <f>IF($Q$63=TRUE,"Testene i punkt 2–6 er utført iht. ISO 16000-serien med målinger gjort etter 28 dager","")</f>
        <v/>
      </c>
      <c r="AV63" s="4" t="str">
        <f>IF($Q$63=TRUE,"ISO 16000","")</f>
        <v/>
      </c>
      <c r="AW63" s="4" t="str">
        <f>IF($Q$63=TRUE,"8.","")</f>
        <v/>
      </c>
      <c r="AX63" s="4" t="str">
        <f>IF($Q$63=TRUE,"Undertegnede kan bekrefte at produktet ikke inneholder asbest","")</f>
        <v/>
      </c>
      <c r="AY63" s="4" t="str">
        <f>IF($Q$63=TRUE,"NS-EN 13964:2004","")</f>
        <v/>
      </c>
      <c r="AZ63" s="4" t="str">
        <f>IF(Q63=TRUE,"¹⁾ Under «Vanlig stilte spørsmål» på www.ngbc.no gis hjelp til å vurdere ulike kjente emisjonssertifikater opp mot kravene i NS-EN 15251.",IF(BC63=TRUE,"¹⁾ Arsen og krom er forbudt",""))</f>
        <v/>
      </c>
      <c r="BA63" s="4" t="str">
        <f>IF(Q63=TRUE,"²⁾ Merk at emisjonene her er oppgitt i mg/m²h. De fleste emisjonssertifikater oppgir emisjoner i mg/m³. Det finnes en metode for å konvertere disse slik at man kan sammenligne resultater. Deres foretrukne laboratorium kan bistå dere med dette.","")</f>
        <v/>
      </c>
      <c r="BB63" s="4" t="str">
        <f>IF(Q63=TRUE,"³⁾ Merk at M1 er den eneste kjente emisjonsmerkeordningen der ammoniakk inngår som en av de emisjonene som måles.","")</f>
        <v/>
      </c>
      <c r="BC63" s="3" t="b">
        <f t="shared" si="0"/>
        <v>0</v>
      </c>
      <c r="BD63" s="3"/>
      <c r="BE63" s="3"/>
      <c r="BF63" s="3"/>
      <c r="BG63" s="3"/>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row>
    <row r="64" spans="1:124" s="2" customFormat="1" ht="15" hidden="1" customHeight="1">
      <c r="A64" s="3"/>
      <c r="B64" s="3"/>
      <c r="C64" s="3"/>
      <c r="D64" s="8"/>
      <c r="E64" s="8"/>
      <c r="F64" s="8"/>
      <c r="G64" s="8"/>
      <c r="H64" s="8"/>
      <c r="I64" s="8"/>
      <c r="J64" s="3"/>
      <c r="K64" s="3"/>
      <c r="L64" s="9"/>
      <c r="M64" s="9"/>
      <c r="N64" s="3"/>
      <c r="O64" s="2">
        <v>6</v>
      </c>
      <c r="P64" s="13" t="str">
        <f>IF(O46=2,"Vinduer og ytterdører",IF(O46=3,"Trekonstruksjoner",""))</f>
        <v/>
      </c>
      <c r="Q64" s="3" t="b">
        <f>IF($O$46=3,IF($O$58=6,TRUE,FALSE))</f>
        <v>0</v>
      </c>
      <c r="R64" s="3" t="b">
        <f>IF($O$46=2,IF($O$50=3,IF($O$58=6,TRUE,FALSE)))</f>
        <v>0</v>
      </c>
      <c r="S64" s="3" t="b">
        <f>IF($O$46=2,IF($O$50=2,IF($O$58=6,TRUE,FALSE)))</f>
        <v>0</v>
      </c>
      <c r="T64" s="7" t="str">
        <f>IF(Q64=TRUE,"trekonstruksjoner",IF(R64=TRUE,"vinduer og ytterdører",IF(S64=TRUE,"vinduer og ytterdører","")))</f>
        <v/>
      </c>
      <c r="U64" s="7" t="str">
        <f>IF($Q$64=TRUE,"1.a",IF(R64=TRUE,"1.",IF(S64=TRUE,"1.","")))</f>
        <v/>
      </c>
      <c r="V64" s="7" t="str">
        <f>IF($Q$64=TRUE,"Produktet kan klassifiseres som E1 iht. testmetode EN 717-1:2004",IF($R$64=TRUE,"PFOS/PFOA",IF($S$64=TRUE,"PFOS/PFOA ¹⁾","")))</f>
        <v/>
      </c>
      <c r="W64" s="7" t="str">
        <f>IF($Q$64=TRUE,"EN 14080:2005
EN 717-1:2004","")</f>
        <v/>
      </c>
      <c r="X64" s="4" t="str">
        <f>IF($Q$64=TRUE,"1.b",IF(R64=TRUE,"2.",IF(S64=TRUE,"2.","")))</f>
        <v/>
      </c>
      <c r="Y64" s="4" t="str">
        <f>IF($Q$64=TRUE,"Undertegnede kan bekrefte at produktet ikke er tilsatt noen materialer som inneholder formaldehyd under produksjon eller ved bearbeiding etter produksjonen. Disse kan klassifiseres som E1 uten prøving",IF(R64=TRUE,"Bromerte flammehemmere (HBCDD, TBBPA)",IF(S64=TRUE,"Bromerte flammehemmere (HBCDD, TBBPA)","")))</f>
        <v/>
      </c>
      <c r="Z64" s="4" t="str">
        <f>IF($Q$64=TRUE,"Se NS-EN 14080:2005 for detaljert informasjon om dette","")</f>
        <v/>
      </c>
      <c r="AA64" s="3"/>
      <c r="AB64" s="4" t="str">
        <f>IF($Q$64=TRUE,"2.",IF(R64=TRUE,"3.",IF(S64=TRUE,"3.","")))</f>
        <v/>
      </c>
      <c r="AC64" s="4" t="str">
        <f>IF($Q$64=TRUE,"Produktet har en emisjonstest som viser at emisjoner av TVOC er under 0,2 mg/m²h ¹⁾  ²⁾",IF($R$64=TRUE,"Ftalat DEHP",IF($S$64=TRUE,"Ftalatene DEHP, BBP og DBP","")))</f>
        <v/>
      </c>
      <c r="AD64" s="4" t="str">
        <f>IF($Q$64=TRUE,"NS-EN 15251:2007 (Tillegg C)","")</f>
        <v/>
      </c>
      <c r="AE64" s="4" t="str">
        <f>IF($Q$64=TRUE,"3.",IF(R64=TRUE,"4.",IF(S64=TRUE,"4.","")))</f>
        <v/>
      </c>
      <c r="AF64" s="4" t="str">
        <f>IF($Q$64=TRUE,"Produktet har ikke en emisjonstest som måler emisjoner av ammoniakk, men undertegnede kan bekrefte:
1)   at ammoniakk ikke er sporbart aktivt i produktet, OG
2)   at produktet ikke inneholder stoffer som kan avspaltes til ammoniakk",IF(R64=TRUE,"Klorparafiner",IF(S64=TRUE,"Klorparafiner","")))</f>
        <v/>
      </c>
      <c r="AG64" s="4" t="str">
        <f>IF($Q$64=TRUE,"","")</f>
        <v/>
      </c>
      <c r="AH64" s="4" t="str">
        <f>IF($Q$64=TRUE,"4.a",IF(R64=TRUE,"5.",IF(S64=TRUE,"5.","")))</f>
        <v/>
      </c>
      <c r="AI64" s="4" t="str">
        <f>IF($Q$64=TRUE,"Produktet har en emisjonstest som viser at emisjoner av ammoniakk er under 0,03 mg/m²h ¹⁾  ²⁾  ³⁾",IF(R64=TRUE,"Oktyl-/nonylfenoler",IF(S64=TRUE,"Oktyl-/nonylfenoler","")))</f>
        <v/>
      </c>
      <c r="AJ64" s="4" t="str">
        <f>IF($Q$64=TRUE,"NS-EN 15251:2007 (Tillegg C)","")</f>
        <v/>
      </c>
      <c r="AK64" s="4" t="str">
        <f>IF($Q$64=TRUE,"4.b",IF(R64=TRUE,"6.",IF(S64=TRUE,"6.","")))</f>
        <v/>
      </c>
      <c r="AL64" s="4" t="str">
        <f>IF($Q$64=TRUE,"Produktet har en emisjonstest som viser at misnøye med lukt er under 15%. Gjelder kun hvis relevant for produktet ¹⁾",IF(R64=TRUE,"Bisfenol A",IF(S64=TRUE,"Bisfenol A","")))</f>
        <v/>
      </c>
      <c r="AM64" s="4" t="str">
        <f>IF($Q$64=TRUE,"NS-EN 15251:2007 (Tillegg C)","")</f>
        <v/>
      </c>
      <c r="AN64" s="4" t="str">
        <f>IF($Q$64=TRUE,"5.","")</f>
        <v/>
      </c>
      <c r="AO64" s="4" t="str">
        <f>IF($Q$64=TRUE,"Produktet har en emisjonstest som viser at emisjoner av kreftfremkallende forbindelser (IARC) er under 0,005 mg/m²h ¹⁾  ²⁾","")</f>
        <v/>
      </c>
      <c r="AP64" s="4" t="str">
        <f>IF($Q$64=TRUE,"NS-EN 15251:2007 (Tillegg C)","")</f>
        <v/>
      </c>
      <c r="AQ64" s="4" t="str">
        <f>IF($Q$64=TRUE,"6.","")</f>
        <v/>
      </c>
      <c r="AR64" s="4" t="str">
        <f>IF($Q$64=TRUE,"Produktet har en emisjonstest som viser at emisjoner av formaldehyd er under 0,05 mg/m²h ¹⁾  ²⁾","")</f>
        <v/>
      </c>
      <c r="AS64" s="4" t="str">
        <f>IF($Q$64=TRUE,"NS-EN 15251:2007 (Tillegg C)","")</f>
        <v/>
      </c>
      <c r="AT64" s="4" t="str">
        <f>IF($Q$64=TRUE,"7.","")</f>
        <v/>
      </c>
      <c r="AU64" s="4" t="str">
        <f>IF($Q$64=TRUE,"Testene i punkt 2–6 er utført iht. ISO 16000-serien med målinger gjort etter 28 dager","")</f>
        <v/>
      </c>
      <c r="AV64" s="4" t="str">
        <f>IF($Q$64=TRUE,"ISO 16000","")</f>
        <v/>
      </c>
      <c r="AW64" s="4"/>
      <c r="AX64" s="4"/>
      <c r="AY64" s="4"/>
      <c r="AZ64" s="4" t="str">
        <f>IF(Q64=TRUE,"¹⁾ Under «Vanlig stilte spørsmål» på www.ngbc.no gis hjelp til å vurdere ulike kjente emisjonssertifikater opp mot kravene i NS-EN 15251.","")</f>
        <v/>
      </c>
      <c r="BA64" s="4" t="str">
        <f>IF(Q64=TRUE,"²⁾ Merk at emisjonene her er oppgitt i mg/m²h. De fleste emisjonssertifikater oppgir emisjoner i mg/m³. Det finnes en metode for å konvertere disse slik at man kan sammenligne resultater. Deres foretrukne laboratorium kan bistå dere med dette.","")</f>
        <v/>
      </c>
      <c r="BB64" s="4" t="str">
        <f>IF(Q64=TRUE,"³⁾ Merk at M1 er den eneste kjente emisjonsmerkeordningen der ammoniakk inngår som en av de emisjonene som måles.","")</f>
        <v/>
      </c>
      <c r="BC64" s="3" t="b">
        <f>OR(R64,S64)</f>
        <v>0</v>
      </c>
      <c r="BD64" s="3"/>
      <c r="BE64" s="3"/>
      <c r="BF64" s="3"/>
      <c r="BG64" s="3"/>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row>
    <row r="65" spans="1:124" s="2" customFormat="1" ht="15" hidden="1" customHeight="1">
      <c r="A65" s="3"/>
      <c r="B65" s="3"/>
      <c r="C65" s="3"/>
      <c r="D65" s="8"/>
      <c r="E65" s="8"/>
      <c r="F65" s="8"/>
      <c r="G65" s="8"/>
      <c r="H65" s="8"/>
      <c r="I65" s="8"/>
      <c r="J65" s="3"/>
      <c r="K65" s="9"/>
      <c r="L65" s="9"/>
      <c r="M65" s="9"/>
      <c r="N65" s="3"/>
      <c r="O65" s="2">
        <v>7</v>
      </c>
      <c r="P65" s="13" t="str">
        <f>IF(O46=2,"Vinyl gulvbelegg",IF(O46=3,"Maling og lakk",""))</f>
        <v/>
      </c>
      <c r="Q65" s="3" t="b">
        <f>IF($O$46=3,IF($O$58=7,TRUE,FALSE))</f>
        <v>0</v>
      </c>
      <c r="R65" s="3" t="b">
        <f>IF($O$46=2,IF($O$50=3,IF($O$58=7,TRUE,FALSE)))</f>
        <v>0</v>
      </c>
      <c r="S65" s="3" t="b">
        <f>IF($O$46=2,IF($O$50=2,IF($O$58=7,TRUE,FALSE)))</f>
        <v>0</v>
      </c>
      <c r="T65" s="7" t="str">
        <f>IF(Q65=TRUE,"maling og lakk",IF(R65=TRUE,"vinyl gulvbelegg",IF(S65=TRUE,"vinyl gulvbelegg","")))</f>
        <v/>
      </c>
      <c r="U65" s="7" t="str">
        <f>IF($Q$65=TRUE,"1.",IF(R65=TRUE,"1.",IF(S65=TRUE,"1.","")))</f>
        <v/>
      </c>
      <c r="V65" s="7" t="str">
        <f>IF($Q$65=TRUE,"Emisjonstestene av maling er utført iht. ISO 16000-9 eller ISO 16000-10, og emisjonene som er oppgitt er fra målinger gjort etter 3 døgn",IF(R65=TRUE,"Bly",IF(S65=TRUE,"Bly","")))</f>
        <v/>
      </c>
      <c r="W65" s="7" t="str">
        <f>IF($Q$65=TRUE,"","")</f>
        <v/>
      </c>
      <c r="X65" s="4" t="str">
        <f>IF($Q$65=TRUE,"2.",IF($R$65=TRUE,"2.",IF(S65=TRUE,"2.","")))</f>
        <v/>
      </c>
      <c r="Y65" s="4" t="str">
        <f>IF($Q$65=TRUE,"Malingen/lakken tilfredsstiller VOC-direktivet: Directive 2004/42/CE",IF(R65=TRUE,"Bromerte flammehemmere (HBCD, TBBPA)",IF(S65=TRUE,"Bromerte flammehemmere (HBCD, TBBPA)","")))</f>
        <v/>
      </c>
      <c r="Z65" s="4" t="str">
        <f>IF($Q$64=TRUE,"","")</f>
        <v/>
      </c>
      <c r="AA65" s="3"/>
      <c r="AB65" s="4" t="str">
        <f>IF(R65=TRUE,"3.",IF(S65=TRUE,"3.",""))</f>
        <v/>
      </c>
      <c r="AC65" s="4" t="str">
        <f>IF($R$65=TRUE,"Ftalat DEHP",IF($S$65=TRUE,"Ftalatene DEHP, BBP og DBP",""))</f>
        <v/>
      </c>
      <c r="AD65" s="4"/>
      <c r="AE65" s="4" t="str">
        <f>IF(R65=TRUE,"4.",IF(S65=TRUE,"4.",""))</f>
        <v/>
      </c>
      <c r="AF65" s="4" t="str">
        <f>IF(R65=TRUE,"Bisfenol A",IF(S65=TRUE,"Bisfenol A",""))</f>
        <v/>
      </c>
      <c r="AG65" s="4"/>
      <c r="AH65" s="4" t="str">
        <f>IF($R$65=TRUE,"5.",IF(S65=TRUE,"5.",""))</f>
        <v/>
      </c>
      <c r="AI65" s="4" t="str">
        <f>IF(R65=TRUE,"Mellomkjedede klorparafiner ¹⁾",IF(S65=TRUE,"Mellomkjedede klorparafiner ¹⁾",""))</f>
        <v/>
      </c>
      <c r="AJ65" s="4"/>
      <c r="AK65" s="4" t="str">
        <f>IF($R$65=TRUE,"6.","")</f>
        <v/>
      </c>
      <c r="AL65" s="4" t="str">
        <f>IF($R$65=TRUE,"Tris(2-kloretyl)fosfat (TCEP)","")</f>
        <v/>
      </c>
      <c r="AM65" s="4"/>
      <c r="AN65" s="4"/>
      <c r="AO65" s="4"/>
      <c r="AP65" s="4"/>
      <c r="AQ65" s="4"/>
      <c r="AR65" s="4"/>
      <c r="AS65" s="4"/>
      <c r="AT65" s="4"/>
      <c r="AU65" s="4"/>
      <c r="AV65" s="4"/>
      <c r="AW65" s="4"/>
      <c r="AX65" s="4"/>
      <c r="AY65" s="4"/>
      <c r="AZ65" s="4" t="str">
        <f>IF(BC65=TRUE,"¹⁾ Kortkjedede parafiner er forbudt","")</f>
        <v/>
      </c>
      <c r="BA65" s="4"/>
      <c r="BB65" s="4"/>
      <c r="BC65" s="3" t="b">
        <f t="shared" si="0"/>
        <v>0</v>
      </c>
      <c r="BD65" s="3"/>
      <c r="BE65" s="3"/>
      <c r="BF65" s="3"/>
      <c r="BG65" s="3"/>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row>
    <row r="66" spans="1:124" s="2" customFormat="1" ht="15" hidden="1" customHeight="1">
      <c r="A66" s="3"/>
      <c r="B66" s="3"/>
      <c r="C66" s="3"/>
      <c r="D66" s="8"/>
      <c r="E66" s="8"/>
      <c r="F66" s="8"/>
      <c r="G66" s="8"/>
      <c r="H66" s="8"/>
      <c r="I66" s="8"/>
      <c r="J66" s="3"/>
      <c r="K66" s="9"/>
      <c r="L66" s="9"/>
      <c r="M66" s="9"/>
      <c r="N66" s="3"/>
      <c r="O66" s="2">
        <v>8</v>
      </c>
      <c r="P66" s="13" t="str">
        <f>IF(O46=2,"XPS, EPS og cellegummi",IF(O46=3,"Tregulv og parkett",""))</f>
        <v/>
      </c>
      <c r="Q66" s="3" t="b">
        <f>IF($O$46=3,IF($O$58=8,TRUE,FALSE))</f>
        <v>0</v>
      </c>
      <c r="R66" s="3" t="b">
        <f>IF($O$46=2,IF($O$50=3,IF($O$58=8,TRUE,FALSE)))</f>
        <v>0</v>
      </c>
      <c r="S66" s="3" t="b">
        <f>IF($O$46=2,IF($O$50=2,IF($O$58=8,TRUE,FALSE)))</f>
        <v>0</v>
      </c>
      <c r="T66" s="7" t="str">
        <f>IF(Q66=TRUE,"tregulv og parkett",IF(R66=TRUE,"XPS, EPS og cellegummi",IF(S66=TRUE,"XPS, EPS og cellegummi","")))</f>
        <v/>
      </c>
      <c r="U66" s="7" t="str">
        <f>IF($Q$66=TRUE,"1.a",IF(R66=TRUE,"1.",IF(S66=TRUE,"1.","")))</f>
        <v/>
      </c>
      <c r="V66" s="7" t="str">
        <f>IF($Q$66=TRUE,"Produktet kan klassifiseres som E1 iht. testmetode EN 717-1:2004",IF(R66=TRUE,"Bromerte flammehemmere (HBCDD, TBBPA) ¹⁾",IF(S66=TRUE,"Flammehemmerne HBCDD, TBBPA ¹⁾","")))</f>
        <v/>
      </c>
      <c r="W66" s="7" t="str">
        <f>IF($Q$66=TRUE,"EN 14342:2005
EN 717-1:2004","")</f>
        <v/>
      </c>
      <c r="X66" s="4" t="str">
        <f>IF($Q$66=TRUE,"1.b","")</f>
        <v/>
      </c>
      <c r="Y66" s="4" t="str">
        <f>IF($Q$66=TRUE,"Undertegnede kan bekrefte at produktet ikke er tilsatt noen materialer som inneholder formaldehyd under produksjon eller ved bearbeiding etter produksjonen. Disse kan klassifiseres som E1 uten prøving","")</f>
        <v/>
      </c>
      <c r="Z66" s="4" t="str">
        <f>IF($Q$66=TRUE,"Se NS-EN 14342:2005 for detaljert informasjon om dette.","")</f>
        <v/>
      </c>
      <c r="AA66" s="3"/>
      <c r="AB66" s="4" t="str">
        <f>IF($Q$66=TRUE,"2.","")</f>
        <v/>
      </c>
      <c r="AC66" s="4" t="str">
        <f>IF($Q$66=TRUE,"Produktet har en emisjonstest som viser at emisjoner av TVOC er under 0,2 mg/m²h ¹⁾  ²⁾","")</f>
        <v/>
      </c>
      <c r="AD66" s="4" t="str">
        <f>IF($Q$66=TRUE,"NS-EN 15251:2007 (Tillegg C)","")</f>
        <v/>
      </c>
      <c r="AE66" s="4" t="str">
        <f>IF($Q$66=TRUE,"3.","")</f>
        <v/>
      </c>
      <c r="AF66" s="4" t="str">
        <f>IF($Q$66=TRUE,"Produktet har ikke en emisjonstest som måler emisjoner av ammoniakk, men undertegnede kan bekrefte:
1)   at ammoniakk ikke er sporbart aktivt i produktet, OG
2)   at produktet ikke inneholder stoffer som kan avspaltes til ammoniakk","")</f>
        <v/>
      </c>
      <c r="AG66" s="4" t="str">
        <f>IF($Q$66=TRUE,"","")</f>
        <v/>
      </c>
      <c r="AH66" s="4" t="str">
        <f>IF($Q$66=TRUE,"4.a","")</f>
        <v/>
      </c>
      <c r="AI66" s="4" t="str">
        <f>IF($Q$66=TRUE,"Produktet har en emisjonstest som viser at emisjoner av ammoniakk er under 0,03 mg/m²h ¹⁾  ²⁾  ³⁾","")</f>
        <v/>
      </c>
      <c r="AJ66" s="4" t="str">
        <f>IF($Q$66=TRUE,"NS-EN 15251:2007 (Tillegg C)","")</f>
        <v/>
      </c>
      <c r="AK66" s="4" t="str">
        <f>IF($Q$66=TRUE,"4.b","")</f>
        <v/>
      </c>
      <c r="AL66" s="4" t="str">
        <f>IF($Q$66=TRUE,"Produktet har en emisjonstest som viser at misnøye med lukt er under 15%. Gjelder kun hvis relevant for produktet ¹⁾","")</f>
        <v/>
      </c>
      <c r="AM66" s="4" t="str">
        <f>IF($Q$66=TRUE,"NS-EN 15251:2007 (Tillegg C)","")</f>
        <v/>
      </c>
      <c r="AN66" s="4" t="str">
        <f>IF($Q$66=TRUE,"5.","")</f>
        <v/>
      </c>
      <c r="AO66" s="4" t="str">
        <f>IF($Q$66=TRUE,"Produktet har en emisjonstest som viser at emisjoner av kreftfremkallende forbindelser (IARC) er under 0,005 mg/m²h ¹⁾  ²⁾","")</f>
        <v/>
      </c>
      <c r="AP66" s="4" t="str">
        <f>IF($Q$66=TRUE,"NS-EN 15251:2007 (Tillegg C)","")</f>
        <v/>
      </c>
      <c r="AQ66" s="4" t="str">
        <f>IF($Q$66=TRUE,"6.","")</f>
        <v/>
      </c>
      <c r="AR66" s="4" t="str">
        <f>IF($Q$66=TRUE,"Produktet har en emisjonstest som viser at emisjoner av formaldehyd er under 0,05 mg/m²h ¹⁾  ²⁾","")</f>
        <v/>
      </c>
      <c r="AS66" s="4" t="str">
        <f>IF($Q$66=TRUE,"NS-EN 15251:2007 (Tillegg C)","")</f>
        <v/>
      </c>
      <c r="AT66" s="4" t="str">
        <f>IF($Q$66=TRUE,"7.","")</f>
        <v/>
      </c>
      <c r="AU66" s="4" t="str">
        <f>IF($Q$66=TRUE,"Testene i punkt 2–6 er utført iht. ISO 16000-serien med målinger gjort etter 28 dager","")</f>
        <v/>
      </c>
      <c r="AV66" s="4" t="str">
        <f>IF($Q$66=TRUE,"ISO 16000","")</f>
        <v/>
      </c>
      <c r="AW66" s="4" t="str">
        <f>IF($Q$66=TRUE,"8.","")</f>
        <v/>
      </c>
      <c r="AX66" s="4" t="str">
        <f>IF($Q$66=TRUE,"Undertegnede kan bekrefte fravær av regulerte treimpregneringsmidler og at minimumsnivå er overholdt","")</f>
        <v/>
      </c>
      <c r="AY66" s="4" t="str">
        <f>IF($Q$66=TRUE,"NS-EN 14342:2005","")</f>
        <v/>
      </c>
      <c r="AZ66" s="4" t="str">
        <f>IF(Q66=TRUE,"¹⁾ Under «Vanlig stilte spørsmål» på www.ngbc.no gis hjelp til å vurdere ulike kjente emisjonssertifikater opp mot kravene i NS-EN 15251.",IF(BC66=TRUE,"¹⁾ Flammehemmerne penta-, okta- og deka-BDE er forbudt.",""))</f>
        <v/>
      </c>
      <c r="BA66" s="4" t="str">
        <f>IF(Q66=TRUE,"²⁾ Merk at emisjonene her er oppgitt i mg/m²h. De fleste emisjonssertifikater oppgir emisjoner i mg/m³. Det finnes en metode for å konvertere disse slik at man kan sammenligne resultater. Deres foretrukne laboratorium kan bistå dere med dette.","")</f>
        <v/>
      </c>
      <c r="BB66" s="4" t="str">
        <f>IF(Q66=TRUE,"³⁾ Merk at M1 er den eneste kjente emisjonsmerkeordningen der ammoniakk inngår som en av de emisjonene som måles.","")</f>
        <v/>
      </c>
      <c r="BC66" s="3" t="b">
        <f t="shared" si="0"/>
        <v>0</v>
      </c>
      <c r="BD66" s="3"/>
      <c r="BE66" s="3"/>
      <c r="BF66" s="3"/>
      <c r="BG66" s="3"/>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row>
    <row r="67" spans="1:124" s="2" customFormat="1" ht="15" hidden="1" customHeight="1">
      <c r="A67" s="3"/>
      <c r="B67" s="3"/>
      <c r="C67" s="3"/>
      <c r="D67" s="8"/>
      <c r="E67" s="8"/>
      <c r="F67" s="8"/>
      <c r="G67" s="8"/>
      <c r="H67" s="8"/>
      <c r="I67" s="8"/>
      <c r="J67" s="3"/>
      <c r="K67" s="9"/>
      <c r="L67" s="9"/>
      <c r="M67" s="9"/>
      <c r="N67" s="3"/>
      <c r="O67" s="2">
        <v>9</v>
      </c>
      <c r="P67" s="13" t="str">
        <f>IF(O46=2,"Lim",IF(O46=3,"Trepanel",""))</f>
        <v/>
      </c>
      <c r="Q67" s="3" t="b">
        <f>IF($O$46=3,IF($O$58=9,TRUE,FALSE))</f>
        <v>0</v>
      </c>
      <c r="R67" s="3" t="b">
        <f>IF($O$46=2,IF($O$50=3,IF($O$58=9,TRUE,FALSE)))</f>
        <v>0</v>
      </c>
      <c r="S67" s="3" t="b">
        <f>IF($O$46=2,IF($O$50=2,IF($O$58=9,TRUE,FALSE)))</f>
        <v>0</v>
      </c>
      <c r="T67" s="7" t="str">
        <f>IF(Q67=TRUE,"trepanel","")</f>
        <v/>
      </c>
      <c r="U67" s="7" t="str">
        <f>IF($Q$67=TRUE,"1.a",IF($R$67=TRUE,"1.",IF($S$67=TRUE,"1.","")))</f>
        <v/>
      </c>
      <c r="V67" s="7" t="str">
        <f>IF($Q$67=TRUE,"Produktet kan klassifiseres som E1 iht. testmetode EN 717-1:2004",IF($R$67=TRUE,"Bisfenol A",IF($S$67=TRUE,"Bisfenol A","")))</f>
        <v/>
      </c>
      <c r="W67" s="7" t="str">
        <f>IF($Q$67=TRUE,"EN 13986:2002
EN 717-1:2004","")</f>
        <v/>
      </c>
      <c r="X67" s="4" t="str">
        <f>IF($Q$67=TRUE,"1.b",IF($R$67=TRUE,"2.",IF($S$67=TRUE,"2.","")))</f>
        <v/>
      </c>
      <c r="Y67" s="4" t="str">
        <f>IF($Q$67=TRUE,"Undertegnede kan bekrefte at produktet ikke er tilsatt noen materialer som inneholder formaldehyd under produksjon eller ved bearbeiding etter produksjonen. Disse kan klassifiseres som E1 uten prøving",IF($R$67=TRUE,"Ftalat DEHP",IF($S$67=TRUE,"Ftalatene DEHP, BBP og DBP","")))</f>
        <v/>
      </c>
      <c r="Z67" s="4" t="str">
        <f>IF($Q$67=TRUE,"Se NS-EN 13986:2002 for detaljert informasjon om dette","")</f>
        <v/>
      </c>
      <c r="AA67" s="3"/>
      <c r="AB67" s="4" t="str">
        <f>IF($Q$67=TRUE,"2.",IF($R$67=TRUE,"3.",IF($S$67=TRUE,"3.","")))</f>
        <v/>
      </c>
      <c r="AC67" s="4" t="str">
        <f>IF($Q$67=TRUE,"Produktet har en emisjonstest som viser at emisjoner av TVOC er under 0,2 mg/m²h ¹⁾  ²⁾",IF($R$67=TRUE,"Mellomkjedede klorparafiner ¹⁾",IF($S$67=TRUE,"Klorparafiner","")))</f>
        <v/>
      </c>
      <c r="AD67" s="4" t="str">
        <f>IF($Q$67=TRUE,"NS-EN 15251:2007 (Tillegg C)","")</f>
        <v/>
      </c>
      <c r="AE67" s="4" t="str">
        <f>IF($Q$67=TRUE,"3.",IF($R$67=TRUE,"4.",IF($S$67=TRUE,"4.","")))</f>
        <v/>
      </c>
      <c r="AF67" s="4" t="str">
        <f>IF($Q$67=TRUE,"Produktet har ikke en emisjonstest som måler emisjoner av ammoniakk, men undertegnede kan bekrefte:
1)   at ammoniakk ikke er sporbart aktivt i produktet, OG
2)   at produktet ikke inneholder stoffer som kan avspaltes til ammoniakk",IF($R$67=TRUE,"Krom",IF($S$67=TRUE,"Krom","")))</f>
        <v/>
      </c>
      <c r="AG67" s="4" t="str">
        <f>IF($Q$67=TRUE,"","")</f>
        <v/>
      </c>
      <c r="AH67" s="4" t="str">
        <f>IF($Q$67=TRUE,"4.a",IF($R$67=TRUE,"5.",IF($S$67=TRUE,"5.","")))</f>
        <v/>
      </c>
      <c r="AI67" s="4" t="str">
        <f>IF($Q$67=TRUE,"Produktet har en emisjonstest som viser at emisjoner av ammoniakk er under 0,03 mg/m²h ¹⁾  ²⁾  ³⁾",IF($R$67=TRUE,"Oktyl-nonylfenoler",IF($S$67=TRUE,"Oktyl-nonylfenoler","")))</f>
        <v/>
      </c>
      <c r="AJ67" s="4" t="str">
        <f>IF($Q$67=TRUE,"NS-EN 15251:2007 (Tillegg C)","")</f>
        <v/>
      </c>
      <c r="AK67" s="4" t="str">
        <f>IF($Q$67=TRUE,"4.b",IF($R$67=TRUE,"6.",""))</f>
        <v/>
      </c>
      <c r="AL67" s="4" t="str">
        <f>IF($Q$67=TRUE,"Produktet har en emisjonstest som viser at misnøye med lukt er under 15%. Gjelder kun hvis relevant for produktet ¹⁾",IF($R$67=TRUE,"Tris(2-kloretyl)fosfat (TCEP)",""))</f>
        <v/>
      </c>
      <c r="AM67" s="4" t="str">
        <f>IF($Q$67=TRUE,"NS-EN 15251:2007 (Tillegg C)","")</f>
        <v/>
      </c>
      <c r="AN67" s="4" t="str">
        <f>IF($Q$67=TRUE,"5.","")</f>
        <v/>
      </c>
      <c r="AO67" s="4" t="str">
        <f>IF($Q$67=TRUE,"Produktet har en emisjonstest som viser at emisjoner av kreftfremkallende forbindelser (IARC) er under 0,005 mg/m²h ¹⁾  ²⁾","")</f>
        <v/>
      </c>
      <c r="AP67" s="4" t="str">
        <f>IF($Q$67=TRUE,"NS-EN 15251:2007 (Tillegg C)","")</f>
        <v/>
      </c>
      <c r="AQ67" s="4" t="str">
        <f>IF($Q$67=TRUE,"6.","")</f>
        <v/>
      </c>
      <c r="AR67" s="4" t="str">
        <f>IF($Q$67=TRUE,"Produktet har en emisjonstest som viser at emisjoner av formaldehyd er under 0,05 mg/m²h ¹⁾  ²⁾","")</f>
        <v/>
      </c>
      <c r="AS67" s="4" t="str">
        <f>IF($Q$67=TRUE,"NS-EN 15251:2007 (Tillegg C)","")</f>
        <v/>
      </c>
      <c r="AT67" s="4" t="str">
        <f>IF($Q$67=TRUE,"7.","")</f>
        <v/>
      </c>
      <c r="AU67" s="4" t="str">
        <f>IF($Q$67=TRUE,"Testene i punkt 2–6 er utført iht. ISO 16000-serien med målinger gjort etter 28 dager","")</f>
        <v/>
      </c>
      <c r="AV67" s="4" t="str">
        <f>IF($Q$67=TRUE,"ISO 16000","")</f>
        <v/>
      </c>
      <c r="AW67" s="4" t="str">
        <f>IF($Q$67=TRUE,"8.","")</f>
        <v/>
      </c>
      <c r="AX67" s="4" t="str">
        <f>IF($Q$67=TRUE,"Undertegnede kan bekrefte fravær av regulerte treimpregneringsmidler og at minimumsnivå er overholdt","")</f>
        <v/>
      </c>
      <c r="AY67" s="4" t="str">
        <f>IF($Q$67=TRUE,"NS-EN 13986:2002","")</f>
        <v/>
      </c>
      <c r="AZ67" s="4" t="str">
        <f>IF(Q67=TRUE,"¹⁾ Under «Vanlig stilte spørsmål» på www.ngbc.no gis hjelp til å vurdere ulike kjente emisjonssertifikater opp mot kravene i NS-EN 15251.","")</f>
        <v/>
      </c>
      <c r="BA67" s="4" t="str">
        <f>IF(Q67=TRUE,"²⁾ Merk at emisjonene her er oppgitt i mg/m²h. De fleste emisjonssertifikater oppgir emisjoner i mg/m³. Det finnes en metode for å konvertere disse slik at man kan sammenligne resultater. Deres foretrukne laboratorium kan bistå dere med dette.","")</f>
        <v/>
      </c>
      <c r="BB67" s="4" t="str">
        <f>IF(Q67=TRUE,"³⁾ Merk at M1 er den eneste kjente emisjonsmerkeordningen der ammoniakk inngår som en av de emisjonene som måles.","")</f>
        <v/>
      </c>
      <c r="BC67" s="3" t="b">
        <f t="shared" si="0"/>
        <v>0</v>
      </c>
      <c r="BD67" s="3"/>
      <c r="BE67" s="3"/>
      <c r="BF67" s="3"/>
      <c r="BG67" s="3"/>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row>
    <row r="68" spans="1:124" s="2" customFormat="1" ht="15" hidden="1" customHeight="1">
      <c r="A68" s="3"/>
      <c r="B68" s="3"/>
      <c r="C68" s="3"/>
      <c r="D68" s="8"/>
      <c r="E68" s="8"/>
      <c r="F68" s="8"/>
      <c r="G68" s="8"/>
      <c r="H68" s="8"/>
      <c r="I68" s="8"/>
      <c r="J68" s="3"/>
      <c r="K68" s="9"/>
      <c r="L68" s="9"/>
      <c r="M68" s="9"/>
      <c r="N68" s="3"/>
      <c r="O68" s="2">
        <v>10</v>
      </c>
      <c r="P68" s="13" t="str">
        <f>IF(O46=2,"Sparkel, fugemasse og -skum",IF(O46=3,"Veggkledninger",""))</f>
        <v/>
      </c>
      <c r="Q68" s="3" t="b">
        <f>IF($O$46=3,IF($O$58=10,TRUE,FALSE))</f>
        <v>0</v>
      </c>
      <c r="R68" s="3" t="b">
        <f>IF($O$46=2,IF($O$50=3,IF($O$58=10,TRUE,FALSE)))</f>
        <v>0</v>
      </c>
      <c r="S68" s="3" t="b">
        <f>IF($O$46=2,IF($O$50=2,IF($O$58=10,TRUE,FALSE)))</f>
        <v>0</v>
      </c>
      <c r="T68" s="7" t="str">
        <f>IF(Q68=TRUE,"veggkledninger","")</f>
        <v/>
      </c>
      <c r="U68" s="7" t="str">
        <f>IF($Q$68=TRUE,"1.",IF($R$68=TRUE,"1.",IF($S$68=TRUE,"1.","")))</f>
        <v/>
      </c>
      <c r="V68" s="7" t="str">
        <f>IF($Q$68=TRUE,"Produktet har en emisjonstest som viser at emisjoner av TVOC er under 0,2 mg/m²h ¹⁾  ²⁾",IF($R$68=TRUE,"Bisfenol A",IF($S$68=TRUE,"Bisfenol A","")))</f>
        <v/>
      </c>
      <c r="W68" s="7" t="str">
        <f>IF($Q$68=TRUE,"NS-EN 15251:2007 (Tillegg C)","")</f>
        <v/>
      </c>
      <c r="X68" s="4" t="str">
        <f>IF($Q$68=TRUE,"2.",IF($R$68=TRUE,"2.",IF($S$68=TRUE,"2.","")))</f>
        <v/>
      </c>
      <c r="Y68" s="4" t="str">
        <f>IF($Q$68=TRUE,"Produktet har en emisjonstest som viser at emisjoner av formaldehyd er under 0,05 mg/m²h ¹⁾  ²⁾",IF($R$68=TRUE,"Ftalat DEHP",IF($S$68=TRUE,"Ftalatene DEHP, BBP og DBP","")))</f>
        <v/>
      </c>
      <c r="Z68" s="4" t="str">
        <f>IF($Q$68=TRUE,"NS-EN 15251:2007 (Tillegg C)","")</f>
        <v/>
      </c>
      <c r="AA68" s="3"/>
      <c r="AB68" s="4" t="str">
        <f>IF($Q$68=TRUE,"3.a",IF($R$68=TRUE,"3.",IF($S$68=TRUE,"3.","")))</f>
        <v/>
      </c>
      <c r="AC68" s="4" t="str">
        <f>IF($Q$68=TRUE,"Produktet har en emisjonstest som viser at emisjoner av ammoniakk er under 0,03 mg/m²h ¹⁾  ²⁾  ³⁾",IF($R$68=TRUE,"Mellomkjedede klorparafiner ¹⁾",IF($S$68=TRUE,"Klorparafiner","")))</f>
        <v/>
      </c>
      <c r="AD68" s="4" t="str">
        <f>IF($Q$68=TRUE,"NS-EN 15251:2007 (Tillegg C)","")</f>
        <v/>
      </c>
      <c r="AE68" s="4" t="str">
        <f>IF($Q$68=TRUE,"3.b",IF($R$68=TRUE,"4.",IF($S$68=TRUE,"4.","")))</f>
        <v/>
      </c>
      <c r="AF68" s="4" t="str">
        <f>IF($Q$68=TRUE,"Produktet har ikke en emisjonstest som måler emisjoner av ammoniakk, men undertegnede kan bekrefte:
1)   at ammoniakk ikke er sporbart aktivt i produktet, OG
2)   at produktet ikke inneholder stoffer som kan avspaltes til ammoniakk",IF($R$68=TRUE,"Krom",IF($S$68=TRUE,"Krom","")))</f>
        <v/>
      </c>
      <c r="AG68" s="4" t="str">
        <f>IF($Q$68=TRUE,"","")</f>
        <v/>
      </c>
      <c r="AH68" s="4" t="str">
        <f>IF($Q$68=TRUE,"4.",IF($R$68=TRUE,"5.",IF($S$68=TRUE,"5.","")))</f>
        <v/>
      </c>
      <c r="AI68" s="4" t="str">
        <f>IF($Q$68=TRUE,"Produktet har en emisjonstest som viser at emisjoner av kreftfremkallende forbindelser (IARC) er under 0,005 mg/m²h ¹⁾  ²⁾",IF($R$68=TRUE,"Oktyl-nonylfenoler",IF($S$68=TRUE,"Oktyl-nonylfenoler","")))</f>
        <v/>
      </c>
      <c r="AJ68" s="4" t="str">
        <f>IF($Q$68=TRUE,"NS-EN 15251:2007 (Tillegg C)","")</f>
        <v/>
      </c>
      <c r="AK68" s="4" t="str">
        <f>IF($Q$68=TRUE,"5.",IF($R$68=TRUE,"6.",IF($S$68=TRUE,"6.","")))</f>
        <v/>
      </c>
      <c r="AL68" s="4" t="str">
        <f>IF($Q$68=TRUE,"Produktet har en emisjonstest som viser at misnøye med lukt er under 15%. Gjelder kun hvis relevant for produktet ¹⁾",IF($R$68=TRUE,"Siloksan (D4 og D5)",IF($S$68=TRUE,"Siloksan (D5)","")))</f>
        <v/>
      </c>
      <c r="AM68" s="4" t="str">
        <f>IF($Q$68=TRUE,"NS-EN 15251:2007 (Tillegg C)","")</f>
        <v/>
      </c>
      <c r="AN68" s="4" t="str">
        <f>IF($Q$68=TRUE,"6.","")</f>
        <v/>
      </c>
      <c r="AO68" s="4" t="str">
        <f>IF($Q$68=TRUE,"Testene i punkt 1-5 er utført iht. ISO 16000-serien med målinger gjort etter 28 dager","")</f>
        <v/>
      </c>
      <c r="AP68" s="4" t="str">
        <f>IF($Q$68=TRUE,"ISO 16000","")</f>
        <v/>
      </c>
      <c r="AQ68" s="4" t="str">
        <f>IF($Q$68=TRUE,"7.","")</f>
        <v/>
      </c>
      <c r="AR68" s="4" t="str">
        <f>IF($Q$68=TRUE,"Utslippet av formaldehyd og VCM (vinylkloridmonomer) skal være lavt og innenfor EN-standarden for materialet","")</f>
        <v/>
      </c>
      <c r="AS68" s="4" t="str">
        <f>IF($Q$68=TRUE,"EN 233:1999
EN 234:1989
EN 259:2001
EN 266:1992
EN 12149:1997","")</f>
        <v/>
      </c>
      <c r="AT68" s="4" t="str">
        <f>IF($Q$68=TRUE,"8.","")</f>
        <v/>
      </c>
      <c r="AU68" s="4" t="str">
        <f>IF($Q$68=TRUE,"Migrering av tungmetaller og andre giftige stoffer er innenfor EN-standarden for materialet","")</f>
        <v/>
      </c>
      <c r="AV68" s="4" t="str">
        <f>IF($Q$68=TRUE,"EN 12149:1997","")</f>
        <v/>
      </c>
      <c r="AW68" s="4"/>
      <c r="AX68" s="4"/>
      <c r="AY68" s="4"/>
      <c r="AZ68" s="4" t="str">
        <f>IF(Q68=TRUE,"¹⁾ Under «Vanlig stilte spørsmål» på www.ngbc.no gis hjelp til å vurdere ulike kjente emisjonssertifikater opp mot kravene i NS-EN 15251.","")</f>
        <v/>
      </c>
      <c r="BA68" s="4" t="str">
        <f>IF(Q68=TRUE,"²⁾ Merk at emisjonene her er oppgitt i mg/m²h. De fleste emisjonssertifikater oppgir emisjoner i mg/m³. Det finnes en metode for å konvertere disse slik at man kan sammenligne resultater. Deres foretrukne laboratorium kan bistå dere med dette.","")</f>
        <v/>
      </c>
      <c r="BB68" s="4" t="str">
        <f>IF(Q68=TRUE,"³⁾ Merk at M1 er den eneste kjente emisjonsmerkeordningen der ammoniakk inngår som en av de emisjonene som måles.","")</f>
        <v/>
      </c>
      <c r="BC68" s="3" t="b">
        <f>OR(R68,S68)</f>
        <v>0</v>
      </c>
      <c r="BD68" s="3"/>
      <c r="BE68" s="3"/>
      <c r="BF68" s="3"/>
      <c r="BG68" s="3"/>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row>
    <row r="69" spans="1:124" s="2" customFormat="1" ht="15" hidden="1" customHeight="1">
      <c r="A69" s="3"/>
      <c r="B69" s="3"/>
      <c r="C69" s="3"/>
      <c r="D69" s="8"/>
      <c r="E69" s="8"/>
      <c r="F69" s="8"/>
      <c r="G69" s="8"/>
      <c r="H69" s="8"/>
      <c r="I69" s="8"/>
      <c r="J69" s="3"/>
      <c r="K69" s="9"/>
      <c r="L69" s="9"/>
      <c r="M69" s="9"/>
      <c r="N69" s="3"/>
      <c r="O69" s="2">
        <v>11</v>
      </c>
      <c r="P69" s="13" t="str">
        <f>IF(O46=2,"Maling, beis og lakk","")</f>
        <v/>
      </c>
      <c r="Q69" s="3"/>
      <c r="R69" s="3" t="b">
        <f>IF($O$46=2,IF($O$50=3,IF($O$58=11,TRUE,FALSE)))</f>
        <v>0</v>
      </c>
      <c r="S69" s="3" t="b">
        <f>IF($O$46=2,IF($O$50=2,IF($O$58=11,TRUE,FALSE)))</f>
        <v>0</v>
      </c>
      <c r="T69" s="7"/>
      <c r="U69" s="7" t="str">
        <f>IF($Q$69=TRUE,"1.",IF($R$69=TRUE,"1.",IF($S$69=TRUE,"1.","")))</f>
        <v/>
      </c>
      <c r="V69" s="7" t="str">
        <f>IF($Q$69=TRUE,"Produktet har en emisjonstest som viser at emisjoner av TVOC er under 0,2 mg/m²h ¹⁾  ²⁾",IF($R$69=TRUE,"Bisfenol A",IF($S$69=TRUE,"Bisfenol A","")))</f>
        <v/>
      </c>
      <c r="W69" s="7" t="str">
        <f>IF($Q$69=TRUE,"NS-EN 15251:2007 (Tillegg C)","")</f>
        <v/>
      </c>
      <c r="X69" s="4" t="str">
        <f>IF($Q$69=TRUE,"2.",IF($R$69=TRUE,"2.",IF($S$69=TRUE,"2.","")))</f>
        <v/>
      </c>
      <c r="Y69" s="4" t="str">
        <f>IF($Q$69=TRUE,"Produktet har en emisjonstest som viser at emisjoner av formaldehyd er under 0,05 mg/m²h ¹⁾  ²⁾",IF($R$69=TRUE,"Ftalat DEHP",IF($S$69=TRUE,"Ftalatene DEHP, BBP og DBP","")))</f>
        <v/>
      </c>
      <c r="Z69" s="4" t="str">
        <f>IF($Q$69=TRUE,"NS-EN 15251:2007 (Tillegg C)","")</f>
        <v/>
      </c>
      <c r="AA69" s="3"/>
      <c r="AB69" s="4" t="str">
        <f>IF($Q$69=TRUE,"3.a",IF($R$69=TRUE,"3.",IF($S$69=TRUE,"3.","")))</f>
        <v/>
      </c>
      <c r="AC69" s="4" t="str">
        <f>IF($Q$69=TRUE,"Produktet har en emisjonstest som viser at emisjoner av ammoniakk er under 0,03 mg/m²h ¹⁾  ²⁾  ³⁾",IF($R$69=TRUE,"Mellomkjedede klorparafiner ¹⁾",IF($S$69=TRUE,"Klorparafiner","")))</f>
        <v/>
      </c>
      <c r="AD69" s="4"/>
      <c r="AE69" s="4" t="str">
        <f>IF($R$69=TRUE,"4.",IF($S$69=TRUE,"4.",""))</f>
        <v/>
      </c>
      <c r="AF69" s="4" t="str">
        <f>IF($R$69=TRUE,"Krom",IF($S$69=TRUE,"Krom",""))</f>
        <v/>
      </c>
      <c r="AG69" s="4"/>
      <c r="AH69" s="4" t="str">
        <f>IF($Q$69=TRUE,"4.",IF($R$69=TRUE,"5.",IF($S$69=TRUE,"5.","")))</f>
        <v/>
      </c>
      <c r="AI69" s="4" t="str">
        <f>IF($Q$69=TRUE,"Produktet har en emisjonstest som viser at emisjoner av kreftfremkallende forbindelser (IARC) er under 0,005 mg/m²h ¹⁾  ²⁾",IF($R$69=TRUE,"Oktyl-nonylfenoler",IF($S$69=TRUE,"Oktyl-nonylfenoler","")))</f>
        <v/>
      </c>
      <c r="AJ69" s="4"/>
      <c r="AK69" s="4" t="str">
        <f>IF($Q$69=TRUE,"5.",IF($R$69=TRUE,"6.",IF($S$69=TRUE,"6.","")))</f>
        <v/>
      </c>
      <c r="AL69" s="4" t="str">
        <f>IF($Q$69=TRUE,"Produktet har en emisjonstest som viser at misnøye med lukt er under 15%. Gjelder kun hvis relevant for produktet ¹⁾",IF($R$69=TRUE,"Siloksan (D4 og D5)",IF($S$69=TRUE,"Siloksan (D5)","")))</f>
        <v/>
      </c>
      <c r="AM69" s="4"/>
      <c r="AN69" s="4" t="str">
        <f>IF($R$69=TRUE,"7.",IF($S$69=TRUE,"7.",""))</f>
        <v/>
      </c>
      <c r="AO69" s="4" t="str">
        <f>IF($R$69=TRUE,"Kadmium ²⁾",IF($S$69=TRUE,"Kadmium ¹⁾",""))</f>
        <v/>
      </c>
      <c r="AP69" s="4"/>
      <c r="AQ69" s="4" t="str">
        <f>IF($R$69=TRUE,"8.",IF($S$69=TRUE,"8.",""))</f>
        <v/>
      </c>
      <c r="AR69" s="4" t="str">
        <f>IF($R$69=TRUE,"Bly",IF($S$69=TRUE,"Bly",""))</f>
        <v/>
      </c>
      <c r="AS69" s="4"/>
      <c r="AT69" s="4" t="str">
        <f>IF($R$69=TRUE,"9.","")</f>
        <v/>
      </c>
      <c r="AU69" s="4" t="str">
        <f>IF($R$69=TRUE,"Tris(2-kloretyl)fosfat (TCEP)","")</f>
        <v/>
      </c>
      <c r="AV69" s="4"/>
      <c r="AW69" s="4"/>
      <c r="AX69" s="4"/>
      <c r="AY69" s="4"/>
      <c r="AZ69" s="4"/>
      <c r="BA69" s="4"/>
      <c r="BB69" s="4"/>
      <c r="BC69" s="3" t="b">
        <f>OR(R69,S69)</f>
        <v>0</v>
      </c>
      <c r="BD69" s="3"/>
      <c r="BE69" s="3"/>
      <c r="BF69" s="3"/>
      <c r="BG69" s="3"/>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row>
    <row r="70" spans="1:124" ht="15" customHeight="1">
      <c r="A70" s="14"/>
      <c r="B70" s="14"/>
      <c r="C70" s="19" t="str">
        <f>IF(O46=1,"",IF(O58=1,"","Handelsnavn:"))</f>
        <v/>
      </c>
      <c r="D70" s="14"/>
      <c r="E70" s="27"/>
      <c r="F70" s="27"/>
      <c r="G70" s="27"/>
      <c r="H70" s="27"/>
      <c r="I70" s="27"/>
      <c r="J70" s="14"/>
      <c r="K70" s="28"/>
      <c r="L70" s="28"/>
      <c r="M70" s="28"/>
      <c r="N70" s="14"/>
      <c r="O70" s="14"/>
      <c r="P70" s="14"/>
      <c r="T70" s="91" t="str">
        <f>CONCATENATE(T60,T61,T62,T63,T64,T65,T66,T67,T68,T69)</f>
        <v/>
      </c>
      <c r="U70" s="91" t="str">
        <f t="shared" ref="U70:AY70" si="1">CONCATENATE(U60,U61,U62,U63,U64,U65,U66,U67,U68,U69)</f>
        <v/>
      </c>
      <c r="V70" s="91" t="str">
        <f t="shared" si="1"/>
        <v/>
      </c>
      <c r="W70" s="91" t="str">
        <f t="shared" si="1"/>
        <v/>
      </c>
      <c r="X70" s="91" t="str">
        <f t="shared" si="1"/>
        <v/>
      </c>
      <c r="Y70" s="91" t="str">
        <f t="shared" si="1"/>
        <v/>
      </c>
      <c r="Z70" s="91" t="str">
        <f>CONCATENATE(Z60,Z61,Z62,Z63,Z64,Z65,Z66,Z67,Z68,Z69)</f>
        <v/>
      </c>
      <c r="AA70" s="91"/>
      <c r="AB70" s="91" t="str">
        <f t="shared" si="1"/>
        <v/>
      </c>
      <c r="AC70" s="91" t="str">
        <f t="shared" si="1"/>
        <v/>
      </c>
      <c r="AD70" s="91" t="str">
        <f t="shared" si="1"/>
        <v/>
      </c>
      <c r="AE70" s="91" t="str">
        <f t="shared" si="1"/>
        <v/>
      </c>
      <c r="AF70" s="91" t="str">
        <f t="shared" si="1"/>
        <v/>
      </c>
      <c r="AG70" s="91" t="str">
        <f t="shared" si="1"/>
        <v/>
      </c>
      <c r="AH70" s="91" t="str">
        <f t="shared" si="1"/>
        <v/>
      </c>
      <c r="AI70" s="91" t="str">
        <f t="shared" si="1"/>
        <v/>
      </c>
      <c r="AJ70" s="91" t="str">
        <f t="shared" si="1"/>
        <v/>
      </c>
      <c r="AK70" s="91" t="str">
        <f t="shared" si="1"/>
        <v/>
      </c>
      <c r="AL70" s="91" t="str">
        <f t="shared" si="1"/>
        <v/>
      </c>
      <c r="AM70" s="91" t="str">
        <f t="shared" si="1"/>
        <v/>
      </c>
      <c r="AN70" s="91" t="str">
        <f t="shared" si="1"/>
        <v/>
      </c>
      <c r="AO70" s="91" t="str">
        <f t="shared" si="1"/>
        <v/>
      </c>
      <c r="AP70" s="91" t="str">
        <f t="shared" si="1"/>
        <v/>
      </c>
      <c r="AQ70" s="91" t="str">
        <f t="shared" si="1"/>
        <v/>
      </c>
      <c r="AR70" s="91" t="str">
        <f t="shared" si="1"/>
        <v/>
      </c>
      <c r="AS70" s="91" t="str">
        <f>CONCATENATE(AS60,AS61,AS62,AS63,AS64,AS65,AS66,AS67,AS68,AS69)</f>
        <v/>
      </c>
      <c r="AT70" s="91" t="str">
        <f>CONCATENATE(AT60,AT61,AT62,AT63,AT64,AT65,AT66,AT67,AT68,AT69)</f>
        <v/>
      </c>
      <c r="AU70" s="91" t="str">
        <f t="shared" si="1"/>
        <v/>
      </c>
      <c r="AV70" s="91" t="str">
        <f t="shared" si="1"/>
        <v/>
      </c>
      <c r="AW70" s="91" t="str">
        <f t="shared" si="1"/>
        <v/>
      </c>
      <c r="AX70" s="91" t="str">
        <f t="shared" si="1"/>
        <v/>
      </c>
      <c r="AY70" s="91" t="str">
        <f t="shared" si="1"/>
        <v/>
      </c>
      <c r="AZ70" s="4" t="str">
        <f>CONCATENATE(AZ60,AZ61,AZ62,AZ63,AZ64,AZ65,AZ66,AZ67,AZ68)</f>
        <v/>
      </c>
      <c r="BA70" s="4" t="str">
        <f>CONCATENATE(BA60,BA61,BA62,BA63,BA64,BA65,BA66,BA67,BA68)</f>
        <v/>
      </c>
      <c r="BB70" s="4" t="str">
        <f>CONCATENATE(BB60,BB61,BB62,BB63,BB64,BB65,BB66,BB67,BB68)</f>
        <v/>
      </c>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row>
    <row r="71" spans="1:124" ht="15" customHeight="1">
      <c r="A71" s="14"/>
      <c r="B71" s="14"/>
      <c r="C71" s="178"/>
      <c r="D71" s="179"/>
      <c r="E71" s="179"/>
      <c r="F71" s="179"/>
      <c r="G71" s="180"/>
      <c r="H71" s="27"/>
      <c r="I71" s="199" t="str">
        <f>IF(Q65=TRUE,"For deklarering av maling og lakk, se egen tabell nederst i dokumentet. 
Velg «Til deklarering» når dokumentasjonskravene er bekreftet.","")</f>
        <v/>
      </c>
      <c r="J71" s="199"/>
      <c r="K71" s="199"/>
      <c r="L71" s="199"/>
      <c r="M71" s="199"/>
      <c r="N71" s="199"/>
      <c r="O71" s="199"/>
      <c r="P71" s="14"/>
      <c r="T71" s="7" t="str">
        <f>IF($Q$60=TRUE,"fugemasser",IF(R60=TRUE,"bygningsplater",IF(S60=TRUE,"bygningsplater","")))</f>
        <v/>
      </c>
      <c r="U71" s="7" t="str">
        <f>IF($Q$60=TRUE,"fugemasser",IF(R60=TRUE,"bygningsplater",IF(S60=TRUE,"bygningsplater","")))</f>
        <v/>
      </c>
      <c r="V71" s="7" t="str">
        <f>IF($Q$60=TRUE,"Produktet har en emisjonstest som viser at emisjoner av TVOC er under 0,2 mg/m²h",IF(R60=TRUE,"Arsen",IF(S60=TRUE,"Arsen","")))</f>
        <v/>
      </c>
      <c r="W71" s="7" t="str">
        <f>IF($Q$60=TRUE,"NS-EN 15251:2007 (Tillegg C)","")</f>
        <v/>
      </c>
      <c r="X71" s="4" t="str">
        <f>IF($Q$60=TRUE,"2.",IF(R60=TRUE,"2.",IF(S60=TRUE,"2.","")))</f>
        <v/>
      </c>
      <c r="Y71" s="4" t="str">
        <f>IF($Q$60=TRUE,"Produktet har en emisjonstest som viser at emisjoner av formaldehyd er under 0,05 mg/m²h",IF(R60=TRUE,"Bly",IF(S60=TRUE,"Bly","")))</f>
        <v/>
      </c>
      <c r="Z71" s="4" t="str">
        <f>IF($Q$60=TRUE,"NS-EN 15251:2007 (Tillegg C)","")</f>
        <v/>
      </c>
      <c r="AB71" s="4" t="str">
        <f>IF($Q$60=TRUE,"3.a",IF(R60=TRUE,"3.",IF(S60=TRUE,"3.","")))</f>
        <v/>
      </c>
      <c r="AC71" s="4" t="str">
        <f>IF($Q$60=TRUE,"Produktet har en emisjonstest som viser at emisjoner av ammoniakk er under 0,03 mg/m²h",IF(R60=TRUE,"Bromerte flammehemmere (HBCDD, TBBPA)",IF(S60=TRUE,"Bromerte flammehemmere (HBCDD, TBBPA)","")))</f>
        <v/>
      </c>
      <c r="AD71" s="4" t="str">
        <f>IF($Q$60=TRUE,"NS-EN 15251:2007 (Tillegg C)","")</f>
        <v/>
      </c>
      <c r="AE71" s="4" t="str">
        <f>IF($Q$60=TRUE,"3.b",IF(R60=TRUE,"4.",IF(S60=TRUE,"4.","")))</f>
        <v/>
      </c>
      <c r="AF71" s="4" t="str">
        <f>IF($Q$60=TRUE,"Produktet har ikke en emisjonstest som måler emisjoner av ammoniakk, men undertegnede kan bekrefte at ammoniakk ikke er sporbart aktivt i produktet, og at produktet ikke inneholder stoffer som kan avspaltes til ammoniakk",IF($R$60=TRUE,"Ftalat DEHP",IF($S$60=TRUE,"Ftalatene DEHP, BBP og DBP","")))</f>
        <v/>
      </c>
      <c r="AG71" s="4" t="str">
        <f>IF($Q$60=TRUE,"","")</f>
        <v/>
      </c>
      <c r="AH71" s="4" t="str">
        <f>IF($Q$60=TRUE,"4.",IF(R60=TRUE,"5.",IF(S60=TRUE,"5.","")))</f>
        <v/>
      </c>
      <c r="AI71" s="4" t="str">
        <f>IF($Q$60=TRUE,"Produktet har en emisjonstest som viser at emisjoner av kreftfremkallende forbindelser (IARC) er under 0,005 mg/m²h",IF(R60=TRUE,"Krom",IF(S60=TRUE,"Krom","")))</f>
        <v/>
      </c>
      <c r="AJ71" s="4" t="str">
        <f>IF($Q$60=TRUE,"NS-EN 15251:2007 (Tillegg C)","")</f>
        <v/>
      </c>
      <c r="AK71" s="4" t="str">
        <f>IF($Q$60=TRUE,"5.",IF(R60=TRUE,"6.",IF(S60=TRUE,"6.","")))</f>
        <v/>
      </c>
      <c r="AL71" s="4" t="str">
        <f>IF($Q$60=TRUE,"Produktet har en emisjonstest som viser at misnøye med lukt er under 15%. Gjelder kun hvis relevant for produktet",IF(R60=TRUE,"Oktyl-/nonylfenoler",IF(S60=TRUE,"Oktyl-/nonylfenoler","")))</f>
        <v/>
      </c>
      <c r="AM71" s="4" t="str">
        <f>IF($Q$60=TRUE,"NS-EN 15251:2007 (Tillegg C)","")</f>
        <v/>
      </c>
      <c r="AN71" s="4" t="str">
        <f>IF($Q$60=TRUE,"6.",IF($R$60=TRUE,"7.",IF($S$60=TRUE,"7.","")))</f>
        <v/>
      </c>
      <c r="AO71" s="4" t="str">
        <f>IF($Q$60=TRUE,"Testene i punkt 1–5 er utført iht. ISO 16000-serien med målinger gjort etter 28 dager",IF($R$60=TRUE,"Bisfenol A",IF($S$60=TRUE,"Bisfenol A","")))</f>
        <v/>
      </c>
      <c r="AP71" s="4" t="str">
        <f>IF($Q$60=TRUE,"ISO 16000","")</f>
        <v/>
      </c>
      <c r="AQ71" s="4"/>
      <c r="AR71" s="4"/>
      <c r="AS71" s="4"/>
      <c r="AT71" s="4"/>
      <c r="AU71" s="4"/>
      <c r="AV71" s="4"/>
      <c r="AW71" s="4"/>
      <c r="AX71" s="4"/>
      <c r="AY71" s="4"/>
      <c r="AZ71" s="4"/>
      <c r="BA71" s="4"/>
      <c r="BB71" s="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row>
    <row r="72" spans="1:124" ht="15" customHeight="1">
      <c r="A72" s="14"/>
      <c r="B72" s="14"/>
      <c r="C72" s="181"/>
      <c r="D72" s="182"/>
      <c r="E72" s="182"/>
      <c r="F72" s="182"/>
      <c r="G72" s="183"/>
      <c r="H72" s="27"/>
      <c r="I72" s="199"/>
      <c r="J72" s="199"/>
      <c r="K72" s="199"/>
      <c r="L72" s="199"/>
      <c r="M72" s="199"/>
      <c r="N72" s="199"/>
      <c r="O72" s="199"/>
      <c r="P72" s="14"/>
      <c r="T72" s="7" t="str">
        <f>IF(Q61=TRUE,"halvharde gulvbelegg, tekstile gulvbelegg og laminatgulv",IF(R61=TRUE,"tapeter",IF(S61=TRUE,"tapeter","")))</f>
        <v/>
      </c>
      <c r="U72" s="7" t="str">
        <f>IF($Q$61=TRUE,"1.a",IF(R61=TRUE,"1.",IF(S61=TRUE,"1.","")))</f>
        <v/>
      </c>
      <c r="V72" s="7" t="str">
        <f>IF($Q$61=TRUE,"Produktet kan klassifiseres som E1 iht. testmetode EN 717-1:2004",IF(R61=TRUE,"Arsen",IF(S61=TRUE,"Arsen","")))</f>
        <v/>
      </c>
      <c r="W72" s="7" t="str">
        <f>IF($Q$61=TRUE,"EN 14041:2004
EN 717-1:2004","")</f>
        <v/>
      </c>
      <c r="X72" s="4" t="str">
        <f>IF($Q$61=TRUE,"1.b",IF(R61=TRUE,"2.",IF(S61=TRUE,"2.","")))</f>
        <v/>
      </c>
      <c r="Y72" s="4" t="str">
        <f>IF($Q$61=TRUE,"Undertegnede kan bekrefte at produktet ikke er tilsatt noen materialer som inneholder formaldehyd under produksjon eller ved bearbeiding etter produksjonen. Disse kan klassifiseres som E1 uten prøving",IF(R61=TRUE,"Bly",IF(S61=TRUE,"Bly","")))</f>
        <v/>
      </c>
      <c r="Z72" s="4" t="str">
        <f>IF($Q$61=TRUE,"Se EN 14041:2004 for detaljert informasjon om dette.","")</f>
        <v/>
      </c>
      <c r="AB72" s="4" t="str">
        <f>IF($Q$61=TRUE,"2.",IF(R61=TRUE,"3.",IF(S61=TRUE,"3.","")))</f>
        <v/>
      </c>
      <c r="AC72" s="4" t="str">
        <f>IF($Q$61=TRUE,"Produktet har en emisjonstest som viser at emisjoner av TVOC er under 0,2 mg/m²h",IF(R61=TRUE,"Bromerte flammehemmere (HBCDD, TBBPA)",IF(S61=TRUE,"Bromerte flammehemmere (HBCDD, TBBPA)","")))</f>
        <v/>
      </c>
      <c r="AD72" s="4" t="str">
        <f>IF($Q$61=TRUE,"NS-EN 15251:2007 (Tillegg C)","")</f>
        <v/>
      </c>
      <c r="AE72" s="4" t="str">
        <f>IF($Q$61=TRUE,"3.",IF(R61=TRUE,"4.",IF(S61=TRUE,"4.","")))</f>
        <v/>
      </c>
      <c r="AF72" s="4" t="str">
        <f>IF($Q$61=TRUE,"Produktet har ikke en emisjonstest som måler emisjoner av ammoniakk, men undertegnede kan bekrefte at ammoniakk ikke er sporbart aktivt i produktet, og at produktet ikke inneholder stoffer som kan avspaltes til ammoniakk",IF($R$61=TRUE,"Ftalat DEHP",IF($S$61=TRUE,"Ftalatene DEHP, BBP og DBP","")))</f>
        <v/>
      </c>
      <c r="AG72" s="4" t="str">
        <f>IF($Q$61=TRUE,"","")</f>
        <v/>
      </c>
      <c r="AH72" s="4" t="str">
        <f>IF($Q$61=TRUE,"4.a",IF(R61=TRUE,"5.",IF(S61=TRUE,"5.","")))</f>
        <v/>
      </c>
      <c r="AI72" s="4" t="str">
        <f>IF($Q$61=TRUE,"Produktet har en emisjonstest som viser at emisjoner av ammoniakk er under 0,03 mg/m²h",IF(R61=TRUE,"Mellomkjedede klorparafiner",IF(S61=TRUE,"Mellomkjedede klorparafiner","")))</f>
        <v/>
      </c>
      <c r="AJ72" s="4" t="str">
        <f>IF($Q$61=TRUE,"NS-EN 15251:2007 (Tillegg C)","")</f>
        <v/>
      </c>
      <c r="AK72" s="4" t="str">
        <f>IF($Q$61=TRUE,"4.b","")</f>
        <v/>
      </c>
      <c r="AL72" s="4" t="str">
        <f>IF($Q$61=TRUE,"Produktet har en emisjonstest som viser at misnøye med lukt er under 15%. Gjelder kun hvis relevant for produktet","")</f>
        <v/>
      </c>
      <c r="AM72" s="4" t="str">
        <f>IF($Q$61=TRUE,"NS-EN 15251:2007 (Tillegg C)","")</f>
        <v/>
      </c>
      <c r="AN72" s="4" t="str">
        <f>IF($Q$61=TRUE,"5.","")</f>
        <v/>
      </c>
      <c r="AO72" s="4" t="str">
        <f>IF($Q$61=TRUE,"Produktet har en emisjonstest som viser at emisjoner av kreftfremkallende forbindelser (IARC) er under 0,005 mg/m²h","")</f>
        <v/>
      </c>
      <c r="AP72" s="4" t="str">
        <f>IF($Q$61=TRUE,"NS-EN 15251:2007 (Tillegg C)","")</f>
        <v/>
      </c>
      <c r="AQ72" s="4" t="str">
        <f>IF($Q$61=TRUE,"6.","")</f>
        <v/>
      </c>
      <c r="AR72" s="4" t="str">
        <f>IF($Q$61=TRUE,"Produktet har en emisjonstest som viser at emisjoner av formaldehyd er under 0,05 mg/m²h","")</f>
        <v/>
      </c>
      <c r="AS72" s="4" t="str">
        <f>IF($Q$61=TRUE,"NS-EN 15251:2007 (Tillegg C)","")</f>
        <v/>
      </c>
      <c r="AT72" s="4" t="str">
        <f>IF($Q$61=TRUE,"7.","")</f>
        <v/>
      </c>
      <c r="AU72" s="4" t="str">
        <f>IF($Q$61=TRUE,"Testene i punkt 2–6 er utført iht. ISO 16000-serien med målinger gjort etter 28 dager","")</f>
        <v/>
      </c>
      <c r="AV72" s="4" t="str">
        <f>IF($Q$61=TRUE,"ISO 16000","")</f>
        <v/>
      </c>
      <c r="AW72" s="4" t="str">
        <f>IF($Q$61=TRUE,"8.","")</f>
        <v/>
      </c>
      <c r="AX72" s="4" t="str">
        <f>IF($Q$61=TRUE,"Undertegnede kan bekrefte fravær av regulerte impregneringsmidler og at minimumsnivå er overholdt","")</f>
        <v/>
      </c>
      <c r="AY72" s="4" t="str">
        <f>IF($Q$61=TRUE,"EN 14041:2004","")</f>
        <v/>
      </c>
      <c r="AZ72" s="4"/>
      <c r="BA72" s="4"/>
      <c r="BB72" s="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row>
    <row r="73" spans="1:124" ht="15" customHeight="1">
      <c r="A73" s="14"/>
      <c r="B73" s="14"/>
      <c r="C73" s="181"/>
      <c r="D73" s="182"/>
      <c r="E73" s="182"/>
      <c r="F73" s="182"/>
      <c r="G73" s="183"/>
      <c r="H73" s="27"/>
      <c r="I73" s="199"/>
      <c r="J73" s="199"/>
      <c r="K73" s="199"/>
      <c r="L73" s="199"/>
      <c r="M73" s="199"/>
      <c r="N73" s="199"/>
      <c r="O73" s="199"/>
      <c r="P73" s="14"/>
      <c r="T73" s="7" t="str">
        <f>IF(Q62=TRUE,"gulvlim",IF(R62=TRUE,"tepper",IF(S62=TRUE,"tepper","")))</f>
        <v/>
      </c>
      <c r="U73" s="7" t="str">
        <f>IF($Q$62=TRUE,"1.",IF(R62=TRUE,"1.",IF(S62=TRUE,"1.","")))</f>
        <v/>
      </c>
      <c r="V73" s="7" t="str">
        <f>IF($Q$62=TRUE,"Produktet har en emisjonstest som viser at emisjoner av TVOC er under 0,2 mg/m²h",IF(R62=TRUE,"PFOS/PFOA",IF(S62=TRUE,"PFOS/PFOA","")))</f>
        <v/>
      </c>
      <c r="W73" s="7" t="str">
        <f>IF($Q$62=TRUE,"NS-EN 15251:2007 (Tillegg C)","")</f>
        <v/>
      </c>
      <c r="X73" s="4" t="str">
        <f>IF($Q$62=TRUE,"2.","")</f>
        <v/>
      </c>
      <c r="Y73" s="4" t="str">
        <f>IF($Q$62=TRUE,"Produktet har en emisjonstest som viser at emisjoner av formaldehyd er under 0,05 mg/m²h","")</f>
        <v/>
      </c>
      <c r="Z73" s="4" t="str">
        <f>IF($Q$62=TRUE,"NS-EN 15251:2007 (Tillegg C)","")</f>
        <v/>
      </c>
      <c r="AB73" s="4" t="str">
        <f>IF($Q$62=TRUE,"3.a","")</f>
        <v/>
      </c>
      <c r="AC73" s="4" t="str">
        <f>IF($Q$62=TRUE,"Produktet har en emisjonstest som viser at emisjoner av ammoniakk er under 0,03 mg/m²h","")</f>
        <v/>
      </c>
      <c r="AD73" s="4" t="str">
        <f>IF($Q$62=TRUE,"NS-EN 15251:2007 (Tillegg C)","")</f>
        <v/>
      </c>
      <c r="AE73" s="4" t="str">
        <f>IF($Q$62=TRUE,"3.b","")</f>
        <v/>
      </c>
      <c r="AF73" s="4" t="str">
        <f>IF($Q$62=TRUE,"Produktet har ikke en emisjonstest som måler emisjoner av ammoniakk, men undertegnede kan bekrefte at ammoniakk ikke er sporbart aktivt i produktet, og at produktet ikke inneholder stoffer som kan avspaltes til ammoniakk","")</f>
        <v/>
      </c>
      <c r="AG73" s="4" t="str">
        <f>IF($Q$62=TRUE,"","")</f>
        <v/>
      </c>
      <c r="AH73" s="4" t="str">
        <f>IF($Q$62=TRUE,"4.","")</f>
        <v/>
      </c>
      <c r="AI73" s="4" t="str">
        <f>IF($Q$62=TRUE,"Produktet har en emisjonstest som viser at emisjoner av kreftfremkallende forbindelser (IARC) er under 0,005 mg/m²h","")</f>
        <v/>
      </c>
      <c r="AJ73" s="4" t="str">
        <f>IF($Q$62=TRUE,"NS-EN 15251:2007 (Tillegg C)","")</f>
        <v/>
      </c>
      <c r="AK73" s="4" t="str">
        <f>IF($Q$62=TRUE,"5.","")</f>
        <v/>
      </c>
      <c r="AL73" s="4" t="str">
        <f>IF($Q$62=TRUE,"Produktet har en emisjonstest som viser at misnøye med lukt er under 15%. Gjelder kun hvis relevant for produktet","")</f>
        <v/>
      </c>
      <c r="AM73" s="4" t="str">
        <f>IF($Q$62=TRUE,"NS-EN 15251:2007 (Tillegg C)","")</f>
        <v/>
      </c>
      <c r="AN73" s="4" t="str">
        <f>IF($Q$62=TRUE,"6.","")</f>
        <v/>
      </c>
      <c r="AO73" s="4" t="str">
        <f>IF($Q$62=TRUE,"Testene i punkt 1-5 er utført iht. ISO 16000-serien med målinger gjort etter 28 dager","")</f>
        <v/>
      </c>
      <c r="AP73" s="4" t="str">
        <f>IF($Q$62=TRUE,"ISO 16000","")</f>
        <v/>
      </c>
      <c r="AQ73" s="4" t="str">
        <f>IF($Q$62=TRUE,"7.","")</f>
        <v/>
      </c>
      <c r="AR73" s="4" t="str">
        <f>IF($Q$62=TRUE,"Produktet har utført tester iht.  EN 13999-2/3/4:2007, og kan bekrefte fravær av kreft- og allergifremkallende stoffer","")</f>
        <v/>
      </c>
      <c r="AS73" s="4" t="str">
        <f>IF($Q$62=TRUE,"EN 13999-1 :2007
EN 13999-2:2007
EN 13999-3:2007
EN 13999-4:2007","")</f>
        <v/>
      </c>
      <c r="AT73" s="4"/>
      <c r="AU73" s="4"/>
      <c r="AV73" s="4"/>
      <c r="AW73" s="4"/>
      <c r="AX73" s="4"/>
      <c r="AY73" s="4"/>
      <c r="AZ73" s="4"/>
      <c r="BA73" s="4"/>
      <c r="BB73" s="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row>
    <row r="74" spans="1:124" ht="15" customHeight="1">
      <c r="A74" s="14"/>
      <c r="B74" s="14"/>
      <c r="C74" s="184"/>
      <c r="D74" s="185"/>
      <c r="E74" s="185"/>
      <c r="F74" s="185"/>
      <c r="G74" s="186"/>
      <c r="H74" s="27"/>
      <c r="I74" s="199"/>
      <c r="J74" s="199"/>
      <c r="K74" s="199"/>
      <c r="L74" s="199"/>
      <c r="M74" s="199"/>
      <c r="N74" s="199"/>
      <c r="O74" s="199"/>
      <c r="P74" s="14"/>
      <c r="T74" s="7" t="str">
        <f>IF(Q63=TRUE,"himlingsplater",IF(R63=TRUE,"trevirke",IF(S63=TRUE,"trevirke","")))</f>
        <v/>
      </c>
      <c r="U74" s="7" t="str">
        <f>IF($Q$63=TRUE,"1.a",IF(R63=TRUE,"1.",IF(S63=TRUE,"1.","")))</f>
        <v/>
      </c>
      <c r="V74" s="7" t="str">
        <f>IF($Q$63=TRUE,"Produktet kan klassifiseres som E1 iht. testmetode EN 717-1:2004",IF(R63=TRUE,"Kreosot (PAH)",IF(S63=TRUE,"Kreosot (PAH)","")))</f>
        <v/>
      </c>
      <c r="W74" s="7" t="str">
        <f>IF($Q$63=TRUE,"EN 13964:2004
EN 717-1:2004","")</f>
        <v/>
      </c>
      <c r="X74" s="4" t="str">
        <f>IF($Q$63=TRUE,"1.b","")</f>
        <v/>
      </c>
      <c r="Y74" s="4" t="str">
        <f>IF($Q$63=TRUE,"Undertegnede kan bekrefte at produktet ikke er tilsatt noen materialer som inneholder formaldehyd under produksjon eller ved bearbeiding etter produksjonen. Disse kan klassifiseres som E1 uten prøving","")</f>
        <v/>
      </c>
      <c r="Z74" s="4" t="str">
        <f>IF($Q$63=TRUE,"Se NS-EN 13964:2004 for detaljert informasjon om dette","")</f>
        <v/>
      </c>
      <c r="AB74" s="4" t="str">
        <f>IF($Q$63=TRUE,"2.","")</f>
        <v/>
      </c>
      <c r="AC74" s="4" t="str">
        <f>IF($Q$63=TRUE,"Produktet har en emisjonstest som viser at emisjoner av TVOC er under 0,2 mg/m²h","")</f>
        <v/>
      </c>
      <c r="AD74" s="4" t="str">
        <f>IF($Q$63=TRUE,"NS-EN 15251:2007 (Tillegg C)","")</f>
        <v/>
      </c>
      <c r="AE74" s="4" t="str">
        <f>IF($Q$63=TRUE,"3.","")</f>
        <v/>
      </c>
      <c r="AF74" s="4" t="str">
        <f>IF($Q$63=TRUE,"Produktet har ikke en emisjonstest som måler emisjoner av ammoniakk, men undertegnede kan bekrefte at at ammoniakk ikke er sporbart aktivt i produktet, og at produktet ikke inneholder stoffer som kan avspaltes til ammoniakk","")</f>
        <v/>
      </c>
      <c r="AG74" s="4" t="str">
        <f>IF($Q$63=TRUE,"","")</f>
        <v/>
      </c>
      <c r="AH74" s="4" t="str">
        <f>IF($Q$63=TRUE,"4.a","")</f>
        <v/>
      </c>
      <c r="AI74" s="4" t="str">
        <f>IF($Q$63=TRUE,"Produktet har en emisjonstest som viser at emisjoner av ammoniakk er under 0,03 mg/m²h","")</f>
        <v/>
      </c>
      <c r="AJ74" s="4" t="str">
        <f>IF($Q$63=TRUE,"NS-EN 15251:2007 (Tillegg C)","")</f>
        <v/>
      </c>
      <c r="AK74" s="4" t="str">
        <f>IF($Q$63=TRUE,"4.b","")</f>
        <v/>
      </c>
      <c r="AL74" s="4" t="str">
        <f>IF($Q$63=TRUE,"Produktet har en emisjonstest som viser at misnøye med lukt er under 15%. Gjelder kun hvis relevant for produktet","")</f>
        <v/>
      </c>
      <c r="AM74" s="4" t="str">
        <f>IF($Q$63=TRUE,"NS-EN 15251:2007 (Tillegg C)","")</f>
        <v/>
      </c>
      <c r="AN74" s="4" t="str">
        <f>IF($Q$63=TRUE,"5.","")</f>
        <v/>
      </c>
      <c r="AO74" s="4" t="str">
        <f>IF($Q$63=TRUE,"Produktet har en emisjonstest som viser at emisjoner av kreftfremkallende forbindelser (IARC) er under 0,005 mg/m²h","")</f>
        <v/>
      </c>
      <c r="AP74" s="4" t="str">
        <f>IF($Q$63=TRUE,"NS-EN 15251:2007 (Tillegg C)","")</f>
        <v/>
      </c>
      <c r="AQ74" s="4" t="str">
        <f>IF($Q$63=TRUE,"6.","")</f>
        <v/>
      </c>
      <c r="AR74" s="4" t="str">
        <f>IF($Q$63=TRUE,"Produktet har en emisjonstest som viser at emisjoner av formaldehyd er under 0,05 mg/m²h","")</f>
        <v/>
      </c>
      <c r="AS74" s="4" t="str">
        <f>IF($Q$63=TRUE,"NS-EN 15251:2007 (Tillegg C)","")</f>
        <v/>
      </c>
      <c r="AT74" s="4" t="str">
        <f>IF($Q$63=TRUE,"7.","")</f>
        <v/>
      </c>
      <c r="AU74" s="4" t="str">
        <f>IF($Q$63=TRUE,"Testene i punkt 2–6 er utført iht. ISO 16000-serien med målinger gjort etter 28 dager","")</f>
        <v/>
      </c>
      <c r="AV74" s="4" t="str">
        <f>IF($Q$63=TRUE,"ISO 16000","")</f>
        <v/>
      </c>
      <c r="AW74" s="4" t="str">
        <f>IF($Q$63=TRUE,"8.","")</f>
        <v/>
      </c>
      <c r="AX74" s="4" t="str">
        <f>IF($Q$63=TRUE,"Undertegnede kan bekrefte at produktet ikke inneholder asbest","")</f>
        <v/>
      </c>
      <c r="AY74" s="4" t="str">
        <f>IF($Q$63=TRUE,"NS-EN 13964:2004","")</f>
        <v/>
      </c>
      <c r="AZ74" s="4"/>
      <c r="BA74" s="4"/>
      <c r="BB74" s="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row>
    <row r="75" spans="1:124" ht="15" customHeight="1">
      <c r="A75" s="14"/>
      <c r="B75" s="14"/>
      <c r="C75" s="14"/>
      <c r="D75" s="27"/>
      <c r="E75" s="27"/>
      <c r="F75" s="27"/>
      <c r="G75" s="27"/>
      <c r="H75" s="27"/>
      <c r="I75" s="27"/>
      <c r="J75" s="14"/>
      <c r="K75" s="28"/>
      <c r="L75" s="28"/>
      <c r="M75" s="28"/>
      <c r="N75" s="14"/>
      <c r="O75" s="14"/>
      <c r="P75" s="14"/>
      <c r="T75" s="7" t="str">
        <f>IF(Q64=TRUE,"trekonstruksjoner",IF(R64=TRUE,"vinduer og ytterdører",IF(S64=TRUE,"vinduer og ytterdører","")))</f>
        <v/>
      </c>
      <c r="U75" s="7" t="str">
        <f>IF($Q$64=TRUE,"1.a",IF(R64=TRUE,"1.",IF(S64=TRUE,"1.","")))</f>
        <v/>
      </c>
      <c r="V75" s="7" t="str">
        <f>IF($Q$64=TRUE,"Produktet kan klassifiseres som E1 iht. testmetode EN 717-1:2004",IF(R64=TRUE,"PFOS/PFOA",IF(S64=TRUE,"PFOS/PFOA","")))</f>
        <v/>
      </c>
      <c r="W75" s="7" t="str">
        <f>IF($Q$64=TRUE,"EN 14080:2005
EN 717-1:2004","")</f>
        <v/>
      </c>
      <c r="X75" s="4" t="str">
        <f>IF($Q$64=TRUE,"1.b",IF(R64=TRUE,"2.",IF(S64=TRUE,"2.","")))</f>
        <v/>
      </c>
      <c r="Y75" s="4" t="str">
        <f>IF($Q$64=TRUE,"Undertegnede kan bekrefte at produktet ikke er tilsatt noen materialer som inneholder formaldehyd under produksjon eller ved bearbeiding etter produksjonen. Disse kan klassifiseres som E1 uten prøving",IF(R64=TRUE,"Bromerte flammehemmere (HBCDD, TBBPA)",IF(S64=TRUE,"Bromerte flammehemmere (HBCDD, TBBPA)","")))</f>
        <v/>
      </c>
      <c r="Z75" s="4" t="str">
        <f>IF($Q$64=TRUE,"Se NS-EN 14080:2005 for detaljert informasjon om dette","")</f>
        <v/>
      </c>
      <c r="AB75" s="4" t="str">
        <f>IF($Q$64=TRUE,"2.",IF(R64=TRUE,"3.",IF(S64=TRUE,"3.","")))</f>
        <v/>
      </c>
      <c r="AC75" s="4" t="str">
        <f>IF($Q$64=TRUE,"Produktet har en emisjonstest som viser at emisjoner av TVOC er under 0,2 mg/m²h",IF($R$64=TRUE,"Ftalat DEHP",IF($S$64=TRUE,"Ftalatene DEHP, BBP og DBP","")))</f>
        <v/>
      </c>
      <c r="AD75" s="4" t="str">
        <f>IF($Q$64=TRUE,"NS-EN 15251:2007 (Tillegg C)","")</f>
        <v/>
      </c>
      <c r="AE75" s="4" t="str">
        <f>IF($Q$64=TRUE,"3.",IF(R64=TRUE,"4.",IF(S64=TRUE,"4.","")))</f>
        <v/>
      </c>
      <c r="AF75" s="4" t="str">
        <f>IF($Q$64=TRUE,"Produktet har ikke en emisjonstest som måler emisjoner av ammoniakk, men undertegnede kan bekrefte at ammoniakk ikke er sporbart aktivt i produktet, og at produktet ikke inneholder stoffer som kan avspaltes til ammoniakk",IF(R64=TRUE,"Klorparafiner",IF(S64=TRUE,"Klorparafiner","")))</f>
        <v/>
      </c>
      <c r="AG75" s="4" t="str">
        <f>IF($Q$64=TRUE,"","")</f>
        <v/>
      </c>
      <c r="AH75" s="4" t="str">
        <f>IF($Q$64=TRUE,"4.a",IF(R64=TRUE,"5.",IF(S64=TRUE,"5.","")))</f>
        <v/>
      </c>
      <c r="AI75" s="4" t="str">
        <f>IF($Q$64=TRUE,"Produktet har en emisjonstest som viser at emisjoner av ammoniakk er under 0,03 mg/m²h",IF(R64=TRUE,"Oktyl-/nonylfenoler",IF(S64=TRUE,"Oktyl-/nonylfenoler","")))</f>
        <v/>
      </c>
      <c r="AJ75" s="4" t="str">
        <f>IF($Q$64=TRUE,"NS-EN 15251:2007 (Tillegg C)","")</f>
        <v/>
      </c>
      <c r="AK75" s="4" t="str">
        <f>IF($Q$64=TRUE,"4.b",IF(R64=TRUE,"6.",IF(S64=TRUE,"6.","")))</f>
        <v/>
      </c>
      <c r="AL75" s="4" t="str">
        <f>IF($Q$64=TRUE,"Produktet har en emisjonstest som viser at misnøye med lukt er under 15%. Gjelder kun hvis relevant for produktet",IF(R64=TRUE,"Bisfenol A",IF(S64=TRUE,"Bisfenol A","")))</f>
        <v/>
      </c>
      <c r="AM75" s="4" t="str">
        <f>IF($Q$64=TRUE,"NS-EN 15251:2007 (Tillegg C)","")</f>
        <v/>
      </c>
      <c r="AN75" s="4" t="str">
        <f>IF($Q$64=TRUE,"5.","")</f>
        <v/>
      </c>
      <c r="AO75" s="4" t="str">
        <f>IF($Q$64=TRUE,"Produktet har en emisjonstest som viser at emisjoner av kreftfremkallende forbindelser (IARC) er under 0,005 mg/m²h","")</f>
        <v/>
      </c>
      <c r="AP75" s="4" t="str">
        <f>IF($Q$64=TRUE,"NS-EN 15251:2007 (Tillegg C)","")</f>
        <v/>
      </c>
      <c r="AQ75" s="4" t="str">
        <f>IF($Q$64=TRUE,"6.","")</f>
        <v/>
      </c>
      <c r="AR75" s="4" t="str">
        <f>IF($Q$64=TRUE,"Produktet har en emisjonstest som viser at emisjoner av formaldehyd er under 0,05 mg/m²h","")</f>
        <v/>
      </c>
      <c r="AS75" s="4" t="str">
        <f>IF($Q$64=TRUE,"NS-EN 15251:2007 (Tillegg C)","")</f>
        <v/>
      </c>
      <c r="AT75" s="4" t="str">
        <f>IF($Q$64=TRUE,"7.","")</f>
        <v/>
      </c>
      <c r="AU75" s="4" t="str">
        <f>IF($Q$64=TRUE,"Testene i punkt 2–6 er utført iht. ISO 16000-serien med målinger gjort etter 28 dager","")</f>
        <v/>
      </c>
      <c r="AV75" s="4" t="str">
        <f>IF($Q$64=TRUE,"ISO 16000","")</f>
        <v/>
      </c>
      <c r="AW75" s="4"/>
      <c r="AX75" s="4"/>
      <c r="AY75" s="4"/>
      <c r="AZ75" s="4"/>
      <c r="BA75" s="4"/>
      <c r="BB75" s="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row>
    <row r="76" spans="1:124" s="1" customFormat="1" ht="15" hidden="1" customHeight="1">
      <c r="A76" s="111"/>
      <c r="B76" s="111"/>
      <c r="C76" s="112"/>
      <c r="D76" s="112"/>
      <c r="E76" s="112"/>
      <c r="F76" s="112"/>
      <c r="G76" s="112"/>
      <c r="H76" s="112"/>
      <c r="I76" s="112"/>
      <c r="J76" s="111"/>
      <c r="K76" s="113"/>
      <c r="L76" s="113"/>
      <c r="M76" s="113"/>
      <c r="N76" s="111"/>
      <c r="O76" s="111"/>
      <c r="P76" s="111"/>
      <c r="Q76" s="3"/>
      <c r="R76" s="3"/>
      <c r="S76" s="3"/>
      <c r="T76" s="7" t="str">
        <f>IF(Q65=TRUE,"maling og lakk",IF(R65=TRUE,"vinyl gulvbelegg",IF(S65=TRUE,"vinyl gulvbelegg","")))</f>
        <v/>
      </c>
      <c r="U76" s="7" t="str">
        <f>IF($Q$65=TRUE,"1.",IF(R65=TRUE,"1.",IF(S65=TRUE,"1.","")))</f>
        <v/>
      </c>
      <c r="V76" s="7" t="str">
        <f>IF($Q$65=TRUE,"Emisjonstestene av maling er utført iht. ISO 16000-9 eller ISO 16000-10, og emisjonene som er oppgitt er fra målinger gjort etter 3 døgn",IF(R65=TRUE,"Bly",IF(S65=TRUE,"Bly","")))</f>
        <v/>
      </c>
      <c r="W76" s="7" t="str">
        <f>IF($Q$65=TRUE,"","")</f>
        <v/>
      </c>
      <c r="X76" s="4" t="str">
        <f>IF($Q$65=TRUE,"2.",IF($R$65=TRUE,"2.",IF(S65=TRUE,"2.","")))</f>
        <v/>
      </c>
      <c r="Y76" s="4" t="str">
        <f>IF($Q$65=TRUE,"Malingen/lakken tilfredsstiller VOC-direktivet: Directive 2004/42/CE",IF(R65=TRUE,"Bromerte flammehemmere (HBCD, TBBPA)",IF(S65=TRUE,"Bromerte flammehemmere (HBCD, TBBPA)","")))</f>
        <v/>
      </c>
      <c r="Z76" s="4" t="str">
        <f>IF($Q$64=TRUE,"","")</f>
        <v/>
      </c>
      <c r="AA76" s="3"/>
      <c r="AB76" s="4" t="str">
        <f>IF(R65=TRUE,"3.",IF(S65=TRUE,"3.",""))</f>
        <v/>
      </c>
      <c r="AC76" s="4" t="str">
        <f>IF(R65=TRUE,"Ftalat DEHP",IF(S65=TRUE,"Ftalatene DEHP, BBP og DBP",""))</f>
        <v/>
      </c>
      <c r="AD76" s="4"/>
      <c r="AE76" s="4" t="str">
        <f>IF(R65=TRUE,"4.",IF(S65=TRUE,"4.",""))</f>
        <v/>
      </c>
      <c r="AF76" s="4" t="str">
        <f>IF(R65=TRUE,"Bisfenol A",IF(S65=TRUE,"Bisfenol A",""))</f>
        <v/>
      </c>
      <c r="AG76" s="4"/>
      <c r="AH76" s="4" t="str">
        <f>IF($R$65=TRUE,"5.",IF(S65=TRUE,"5.",""))</f>
        <v/>
      </c>
      <c r="AI76" s="4" t="str">
        <f>IF(R65=TRUE,"Mellomkjedede klorparafiner",IF(S65=TRUE,"Mellomkjedede klorparafiner",""))</f>
        <v/>
      </c>
      <c r="AJ76" s="4"/>
      <c r="AK76" s="4" t="str">
        <f>IF($R$65=TRUE,"6.","")</f>
        <v/>
      </c>
      <c r="AL76" s="4" t="str">
        <f>IF($R$65=TRUE,"Tris(2-kloretyl)fosfat (TCEP)","")</f>
        <v/>
      </c>
      <c r="AM76" s="4"/>
      <c r="AN76" s="4"/>
      <c r="AO76" s="4"/>
      <c r="AP76" s="4"/>
      <c r="AQ76" s="4"/>
      <c r="AR76" s="4"/>
      <c r="AS76" s="4"/>
      <c r="AT76" s="4"/>
      <c r="AU76" s="4"/>
      <c r="AV76" s="4"/>
      <c r="AW76" s="4"/>
      <c r="AX76" s="4"/>
      <c r="AY76" s="4"/>
      <c r="AZ76" s="4"/>
      <c r="BA76" s="4"/>
      <c r="BB76" s="4"/>
      <c r="BC76" s="3"/>
      <c r="BD76" s="3"/>
      <c r="BE76" s="3"/>
      <c r="BF76" s="3"/>
      <c r="BG76" s="3"/>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111"/>
      <c r="CV76" s="111"/>
      <c r="CW76" s="111"/>
      <c r="CX76" s="111"/>
      <c r="CY76" s="111"/>
      <c r="CZ76" s="111"/>
      <c r="DA76" s="111"/>
      <c r="DB76" s="111"/>
      <c r="DC76" s="111"/>
      <c r="DD76" s="111"/>
      <c r="DE76" s="111"/>
      <c r="DF76" s="111"/>
      <c r="DG76" s="111"/>
      <c r="DH76" s="111"/>
      <c r="DI76" s="111"/>
      <c r="DJ76" s="111"/>
      <c r="DK76" s="111"/>
      <c r="DL76" s="111"/>
      <c r="DM76" s="111"/>
      <c r="DN76" s="111"/>
      <c r="DO76" s="111"/>
      <c r="DP76" s="111"/>
      <c r="DQ76" s="111"/>
      <c r="DR76" s="111"/>
      <c r="DS76" s="111"/>
      <c r="DT76" s="111"/>
    </row>
    <row r="77" spans="1:124" s="1" customFormat="1" ht="15" hidden="1" customHeight="1">
      <c r="A77" s="111"/>
      <c r="B77" s="111"/>
      <c r="C77" s="112"/>
      <c r="D77" s="112"/>
      <c r="E77" s="112"/>
      <c r="F77" s="112"/>
      <c r="G77" s="112"/>
      <c r="H77" s="112"/>
      <c r="I77" s="112"/>
      <c r="J77" s="111"/>
      <c r="K77" s="113"/>
      <c r="L77" s="113"/>
      <c r="M77" s="113"/>
      <c r="N77" s="111"/>
      <c r="O77" s="111"/>
      <c r="P77" s="111"/>
      <c r="Q77" s="3"/>
      <c r="R77" s="3"/>
      <c r="S77" s="3"/>
      <c r="T77" s="7" t="str">
        <f>IF(Q66=TRUE,"tregulv og parkett",IF(R66=TRUE,"XPS, EPS og cellegummi",IF(S66=TRUE,"XPS, EPS og cellegummi","")))</f>
        <v/>
      </c>
      <c r="U77" s="7" t="str">
        <f>IF($Q$66=TRUE,"1.a",IF(R66=TRUE,"1.",IF(S66=TRUE,"1.","")))</f>
        <v/>
      </c>
      <c r="V77" s="7" t="str">
        <f>IF($Q$66=TRUE,"Produktet kan klassifiseres som E1 iht. testmetode EN 717-1:2004",IF(R66=TRUE,"Bromerte flammehemmerne (HBCDD, TBBPA)",IF(S66=TRUE,"Flammehemmerne HBCDD, TBBPA","")))</f>
        <v/>
      </c>
      <c r="W77" s="7" t="str">
        <f>IF($Q$66=TRUE,"EN 14342:2005
EN 717-1:2004","")</f>
        <v/>
      </c>
      <c r="X77" s="4" t="str">
        <f>IF($Q$66=TRUE,"1.b","")</f>
        <v/>
      </c>
      <c r="Y77" s="4" t="str">
        <f>IF($Q$66=TRUE,"Undertegnede kan bekrefte at produktet ikke er tilsatt noen materialer som inneholder formaldehyd under produksjon eller ved bearbeiding etter produksjonen. Disse kan klassifiseres som E1 uten prøving","")</f>
        <v/>
      </c>
      <c r="Z77" s="4" t="str">
        <f>IF($Q$66=TRUE,"Se NS-EN 14342:2005 for detaljert informasjon om dette.","")</f>
        <v/>
      </c>
      <c r="AA77" s="3"/>
      <c r="AB77" s="4" t="str">
        <f>IF($Q$66=TRUE,"2.","")</f>
        <v/>
      </c>
      <c r="AC77" s="4" t="str">
        <f>IF($Q$66=TRUE,"Produktet har en emisjonstest som viser at emisjoner av TVOC er under 0,2 mg/m²h","")</f>
        <v/>
      </c>
      <c r="AD77" s="4" t="str">
        <f>IF($Q$66=TRUE,"NS-EN 15251:2007 (Tillegg C)","")</f>
        <v/>
      </c>
      <c r="AE77" s="4" t="str">
        <f>IF($Q$66=TRUE,"3.","")</f>
        <v/>
      </c>
      <c r="AF77" s="4" t="str">
        <f>IF($Q$66=TRUE,"Produktet har ikke en emisjonstest som måler emisjoner av ammoniakk, men undertegnede kan bekrefte at ammoniakk ikke er sporbart aktivt i produktet, og at produktet ikke inneholder stoffer som kan avspaltes til ammoniakk","")</f>
        <v/>
      </c>
      <c r="AG77" s="4" t="str">
        <f>IF($Q$66=TRUE,"","")</f>
        <v/>
      </c>
      <c r="AH77" s="4" t="str">
        <f>IF($Q$66=TRUE,"4.a","")</f>
        <v/>
      </c>
      <c r="AI77" s="4" t="str">
        <f>IF($Q$66=TRUE,"Produktet har en emisjonstest som viser at emisjoner av ammoniakk er under 0,03 mg/m²h","")</f>
        <v/>
      </c>
      <c r="AJ77" s="4" t="str">
        <f>IF($Q$66=TRUE,"NS-EN 15251:2007 (Tillegg C)","")</f>
        <v/>
      </c>
      <c r="AK77" s="4" t="str">
        <f>IF($Q$66=TRUE,"4.b","")</f>
        <v/>
      </c>
      <c r="AL77" s="4" t="str">
        <f>IF($Q$66=TRUE,"Produktet har en emisjonstest som viser at misnøye med lukt er under 15%. Gjelder kun hvis relevant for produktet","")</f>
        <v/>
      </c>
      <c r="AM77" s="4" t="str">
        <f>IF($Q$66=TRUE,"NS-EN 15251:2007 (Tillegg C)","")</f>
        <v/>
      </c>
      <c r="AN77" s="4" t="str">
        <f>IF($Q$66=TRUE,"5.","")</f>
        <v/>
      </c>
      <c r="AO77" s="4" t="str">
        <f>IF($Q$66=TRUE,"Produktet har en emisjonstest som viser at emisjoner av kreftfremkallende forbindelser (IARC) er under 0,005 mg/m²h","")</f>
        <v/>
      </c>
      <c r="AP77" s="4" t="str">
        <f>IF($Q$66=TRUE,"NS-EN 15251:2007 (Tillegg C)","")</f>
        <v/>
      </c>
      <c r="AQ77" s="4" t="str">
        <f>IF($Q$66=TRUE,"6.","")</f>
        <v/>
      </c>
      <c r="AR77" s="4" t="str">
        <f>IF($Q$66=TRUE,"Produktet har en emisjonstest som viser at emisjoner av ammoniakk er under 0,03 mg/m²h","")</f>
        <v/>
      </c>
      <c r="AS77" s="4" t="str">
        <f>IF($Q$66=TRUE,"NS-EN 15251:2007 (Tillegg C)","")</f>
        <v/>
      </c>
      <c r="AT77" s="4" t="str">
        <f>IF($Q$66=TRUE,"7.","")</f>
        <v/>
      </c>
      <c r="AU77" s="4" t="str">
        <f>IF($Q$66=TRUE,"Testene i punkt 2–6 er utført iht. ISO 16000-serien med målinger gjort etter 28 dager","")</f>
        <v/>
      </c>
      <c r="AV77" s="4" t="str">
        <f>IF($Q$66=TRUE,"ISO 16000","")</f>
        <v/>
      </c>
      <c r="AW77" s="4" t="str">
        <f>IF($Q$66=TRUE,"8.","")</f>
        <v/>
      </c>
      <c r="AX77" s="4" t="str">
        <f>IF($Q$66=TRUE,"Undertegnede kan bekrefte fravær av regulerte treimpregneringsmidler og at minimumsnivå er overholdt","")</f>
        <v/>
      </c>
      <c r="AY77" s="4" t="str">
        <f>IF($Q$66=TRUE,"NS-EN 14342:2005","")</f>
        <v/>
      </c>
      <c r="AZ77" s="4"/>
      <c r="BA77" s="4"/>
      <c r="BB77" s="4"/>
      <c r="BC77" s="3"/>
      <c r="BD77" s="3"/>
      <c r="BE77" s="3"/>
      <c r="BF77" s="3"/>
      <c r="BG77" s="3"/>
      <c r="BH77" s="111"/>
      <c r="BI77" s="111"/>
      <c r="BJ77" s="111"/>
      <c r="BK77" s="111"/>
      <c r="BL77" s="111"/>
      <c r="BM77" s="111"/>
      <c r="BN77" s="111"/>
      <c r="BO77" s="111"/>
      <c r="BP77" s="111"/>
      <c r="BQ77" s="111"/>
      <c r="BR77" s="111"/>
      <c r="BS77" s="111"/>
      <c r="BT77" s="111"/>
      <c r="BU77" s="111"/>
      <c r="BV77" s="111"/>
      <c r="BW77" s="111"/>
      <c r="BX77" s="111"/>
      <c r="BY77" s="111"/>
      <c r="BZ77" s="111"/>
      <c r="CA77" s="111"/>
      <c r="CB77" s="111"/>
      <c r="CC77" s="111"/>
      <c r="CD77" s="111"/>
      <c r="CE77" s="111"/>
      <c r="CF77" s="111"/>
      <c r="CG77" s="111"/>
      <c r="CH77" s="111"/>
      <c r="CI77" s="111"/>
      <c r="CJ77" s="111"/>
      <c r="CK77" s="111"/>
      <c r="CL77" s="111"/>
      <c r="CM77" s="111"/>
      <c r="CN77" s="111"/>
      <c r="CO77" s="111"/>
      <c r="CP77" s="111"/>
      <c r="CQ77" s="111"/>
      <c r="CR77" s="111"/>
      <c r="CS77" s="111"/>
      <c r="CT77" s="111"/>
      <c r="CU77" s="111"/>
      <c r="CV77" s="111"/>
      <c r="CW77" s="111"/>
      <c r="CX77" s="111"/>
      <c r="CY77" s="111"/>
      <c r="CZ77" s="111"/>
      <c r="DA77" s="111"/>
      <c r="DB77" s="111"/>
      <c r="DC77" s="111"/>
      <c r="DD77" s="111"/>
      <c r="DE77" s="111"/>
      <c r="DF77" s="111"/>
      <c r="DG77" s="111"/>
      <c r="DH77" s="111"/>
      <c r="DI77" s="111"/>
      <c r="DJ77" s="111"/>
      <c r="DK77" s="111"/>
      <c r="DL77" s="111"/>
      <c r="DM77" s="111"/>
      <c r="DN77" s="111"/>
      <c r="DO77" s="111"/>
      <c r="DP77" s="111"/>
      <c r="DQ77" s="111"/>
      <c r="DR77" s="111"/>
      <c r="DS77" s="111"/>
      <c r="DT77" s="111"/>
    </row>
    <row r="78" spans="1:124" s="1" customFormat="1" ht="15" hidden="1" customHeight="1">
      <c r="A78" s="111"/>
      <c r="B78" s="111"/>
      <c r="C78" s="111"/>
      <c r="D78" s="111"/>
      <c r="E78" s="111"/>
      <c r="F78" s="111"/>
      <c r="G78" s="111"/>
      <c r="H78" s="111"/>
      <c r="I78" s="111"/>
      <c r="J78" s="113"/>
      <c r="K78" s="113"/>
      <c r="L78" s="111"/>
      <c r="M78" s="111"/>
      <c r="N78" s="111"/>
      <c r="O78" s="111"/>
      <c r="P78" s="111"/>
      <c r="Q78" s="3"/>
      <c r="R78" s="3"/>
      <c r="S78" s="3"/>
      <c r="T78" s="7" t="str">
        <f>IF(Q67=TRUE,"trepanel","")</f>
        <v/>
      </c>
      <c r="U78" s="7" t="str">
        <f>IF($Q$67=TRUE,"1.a",IF($R$67=TRUE,"1.",IF($S$67=TRUE,"1.","")))</f>
        <v/>
      </c>
      <c r="V78" s="7" t="str">
        <f>IF($Q$67=TRUE,"Produktet kan klassifiseres som E1 iht. testmetode EN 717-1:2004",IF($R$67=TRUE,"Bisfenol A",IF($S$67=TRUE,"Bisfenol A","")))</f>
        <v/>
      </c>
      <c r="W78" s="7" t="str">
        <f>IF($Q$67=TRUE,"EN 13986:2002
EN 717-1:2004","")</f>
        <v/>
      </c>
      <c r="X78" s="4" t="str">
        <f>IF($Q$67=TRUE,"1.b",IF($R$67=TRUE,"2.",IF($S$67=TRUE,"2.","")))</f>
        <v/>
      </c>
      <c r="Y78" s="4" t="str">
        <f>IF($Q$67=TRUE,"Undertegnede kan bekrefte at produktet ikke er tilsatt noen materialer som inneholder formaldehyd under produksjon eller ved bearbeiding etter produksjonen. Disse kan klassifiseres som E1 uten prøving",IF($R$67=TRUE,"Ftalat DEHP",IF($S$67=TRUE,"Ftalatene DEHP, BBP og DBP","")))</f>
        <v/>
      </c>
      <c r="Z78" s="4" t="str">
        <f>IF($Q$67=TRUE,"Se NS-EN 13986:2002 for detaljert informasjon om dette","")</f>
        <v/>
      </c>
      <c r="AA78" s="3"/>
      <c r="AB78" s="4" t="str">
        <f>IF($Q$67=TRUE,"2.",IF($R$67=TRUE,"3.",IF($S$67=TRUE,"3.","")))</f>
        <v/>
      </c>
      <c r="AC78" s="4" t="str">
        <f>IF($Q$67=TRUE,"Produktet har en emisjonstest som viser at emisjoner av TVOC er under 0,2 mg/m²h",IF($R$67=TRUE,"Mellomkjedede klorparafiner",IF($S$67=TRUE,"Klorparafiner","")))</f>
        <v/>
      </c>
      <c r="AD78" s="4" t="str">
        <f>IF($Q$67=TRUE,"NS-EN 15251:2007 (Tillegg C)","")</f>
        <v/>
      </c>
      <c r="AE78" s="4" t="str">
        <f>IF($Q$67=TRUE,"3.",IF($R$67=TRUE,"4.",IF($S$67=TRUE,"4.","")))</f>
        <v/>
      </c>
      <c r="AF78" s="4" t="str">
        <f>IF($Q$67=TRUE,"Produktet har ikke en emisjonstest som måler emisjoner av ammoniakk, men undertegnede kan bekrefte at ammoniakk ikke er sporbart aktivt i produktet, og at produktet ikke inneholder stoffer som kan avspaltes til ammoniakk",IF($R$67=TRUE,"Krom",IF($S$67=TRUE,"Krom","")))</f>
        <v/>
      </c>
      <c r="AG78" s="4" t="str">
        <f>IF($Q$67=TRUE,"","")</f>
        <v/>
      </c>
      <c r="AH78" s="4" t="str">
        <f>IF($Q$67=TRUE,"4.a",IF($R$67=TRUE,"5.",IF($S$67=TRUE,"5.","")))</f>
        <v/>
      </c>
      <c r="AI78" s="4" t="str">
        <f>IF($Q$67=TRUE,"Produktet har en emisjonstest som viser at emisjoner av ammoniakk er under 0,03 mg/m²h",IF($R$67=TRUE,"Oktyl-nonylfenoler",IF($S$67=TRUE,"Oktyl-nonylfenoler","")))</f>
        <v/>
      </c>
      <c r="AJ78" s="4" t="str">
        <f>IF($Q$67=TRUE,"NS-EN 15251:2007 (Tillegg C)","")</f>
        <v/>
      </c>
      <c r="AK78" s="4" t="str">
        <f>IF($Q$67=TRUE,"4.b",IF($R$67=TRUE,"6.",""))</f>
        <v/>
      </c>
      <c r="AL78" s="4" t="str">
        <f>IF($Q$67=TRUE,"Produktet har en emisjonstest som viser at misnøye med lukt er under 15%. Gjelder kun hvis relevant for produktet",IF($R$67=TRUE,"Tris(2-kloretyl)fosfat (TCEP)",""))</f>
        <v/>
      </c>
      <c r="AM78" s="4" t="str">
        <f>IF($Q$67=TRUE,"NS-EN 15251:2007 (Tillegg C)","")</f>
        <v/>
      </c>
      <c r="AN78" s="4" t="str">
        <f>IF($Q$67=TRUE,"5.","")</f>
        <v/>
      </c>
      <c r="AO78" s="4" t="str">
        <f>IF($Q$67=TRUE,"Produktet har en emisjonstest som viser at emisjoner av kreftfremkallende forbindelser (IARC) er under 0,005 mg/m²h","")</f>
        <v/>
      </c>
      <c r="AP78" s="4" t="str">
        <f>IF($Q$67=TRUE,"NS-EN 15251:2007 (Tillegg C)","")</f>
        <v/>
      </c>
      <c r="AQ78" s="4" t="str">
        <f>IF($Q$67=TRUE,"6.","")</f>
        <v/>
      </c>
      <c r="AR78" s="4" t="str">
        <f>IF($Q$67=TRUE,"Produktet har en emisjonstest som viser at emisjoner av formaldehyd er under 0,05 mg/m²h","")</f>
        <v/>
      </c>
      <c r="AS78" s="4" t="str">
        <f>IF($Q$67=TRUE,"NS-EN 15251:2007 (Tillegg C)","")</f>
        <v/>
      </c>
      <c r="AT78" s="4" t="str">
        <f>IF($Q$67=TRUE,"7.","")</f>
        <v/>
      </c>
      <c r="AU78" s="4" t="str">
        <f>IF($Q$67=TRUE,"Testene i punkt 2–6 er utført iht. ISO 16000-serien med målinger gjort etter 28 dager","")</f>
        <v/>
      </c>
      <c r="AV78" s="4" t="str">
        <f>IF($Q$67=TRUE,"ISO 16000","")</f>
        <v/>
      </c>
      <c r="AW78" s="4" t="str">
        <f>IF($Q$67=TRUE,"8.","")</f>
        <v/>
      </c>
      <c r="AX78" s="4" t="str">
        <f>IF($Q$67=TRUE,"Undertegnede kan bekrefte fravær av regulerte treimpregneringsmidler og at minimumsnivå er overholdt","")</f>
        <v/>
      </c>
      <c r="AY78" s="4" t="str">
        <f>IF($Q$67=TRUE,"NS-EN 13986:2002","")</f>
        <v/>
      </c>
      <c r="AZ78" s="4"/>
      <c r="BA78" s="4"/>
      <c r="BB78" s="4"/>
      <c r="BC78" s="3"/>
      <c r="BD78" s="3"/>
      <c r="BE78" s="3"/>
      <c r="BF78" s="3"/>
      <c r="BG78" s="3"/>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1"/>
      <c r="CK78" s="111"/>
      <c r="CL78" s="111"/>
      <c r="CM78" s="111"/>
      <c r="CN78" s="111"/>
      <c r="CO78" s="111"/>
      <c r="CP78" s="111"/>
      <c r="CQ78" s="111"/>
      <c r="CR78" s="111"/>
      <c r="CS78" s="111"/>
      <c r="CT78" s="111"/>
      <c r="CU78" s="111"/>
      <c r="CV78" s="111"/>
      <c r="CW78" s="111"/>
      <c r="CX78" s="111"/>
      <c r="CY78" s="111"/>
      <c r="CZ78" s="111"/>
      <c r="DA78" s="111"/>
      <c r="DB78" s="111"/>
      <c r="DC78" s="111"/>
      <c r="DD78" s="111"/>
      <c r="DE78" s="111"/>
      <c r="DF78" s="111"/>
      <c r="DG78" s="111"/>
      <c r="DH78" s="111"/>
      <c r="DI78" s="111"/>
      <c r="DJ78" s="111"/>
      <c r="DK78" s="111"/>
      <c r="DL78" s="111"/>
      <c r="DM78" s="111"/>
      <c r="DN78" s="111"/>
      <c r="DO78" s="111"/>
      <c r="DP78" s="111"/>
      <c r="DQ78" s="111"/>
      <c r="DR78" s="111"/>
      <c r="DS78" s="111"/>
      <c r="DT78" s="111"/>
    </row>
    <row r="79" spans="1:124" ht="15" customHeight="1">
      <c r="A79" s="14"/>
      <c r="B79" s="14"/>
      <c r="C79" s="19" t="str">
        <f>IF(O46=2,"Stoffer som skal unngås:",IF(O46=3,"Dokumentasjonskrav:",""))</f>
        <v/>
      </c>
      <c r="D79" s="19"/>
      <c r="E79" s="14"/>
      <c r="F79" s="14"/>
      <c r="G79" s="14"/>
      <c r="H79" s="14"/>
      <c r="I79" s="19" t="str">
        <f>IF(O46=1,"",IF(O46=2,"",IF(T57=TRUE,"","Standard:")))</f>
        <v/>
      </c>
      <c r="J79" s="124" t="str">
        <f>IF(O46=2,"Finnes stoffet i produktet?",IF(O46=3,"Bekreftes:",""))</f>
        <v/>
      </c>
      <c r="K79" s="124"/>
      <c r="L79" s="19" t="str">
        <f>IF(O46=1,"","Kommentar:")</f>
        <v/>
      </c>
      <c r="M79" s="14"/>
      <c r="N79" s="14"/>
      <c r="O79" s="14"/>
      <c r="P79" s="14"/>
      <c r="T79" s="7" t="str">
        <f>IF(Q68=TRUE,"veggkledninger","")</f>
        <v/>
      </c>
      <c r="U79" s="7" t="str">
        <f>IF($Q$68=TRUE,"1.",IF($R$68=TRUE,"1.",IF($S$68=TRUE,"1.","")))</f>
        <v/>
      </c>
      <c r="V79" s="7" t="str">
        <f>IF($Q$68=TRUE,"Produktet har en emisjonstest som viser at emisjoner av TVOC er under 0,2 mg/m²h",IF($R$68=TRUE,"Bisfenol A",IF($S$68=TRUE,"Bisfenol A","")))</f>
        <v/>
      </c>
      <c r="W79" s="7" t="str">
        <f>IF($Q$68=TRUE,"NS-EN 15251:2007 (Tillegg C)","")</f>
        <v/>
      </c>
      <c r="X79" s="4" t="str">
        <f>IF($Q$68=TRUE,"2.",IF($R$68=TRUE,"2.",IF($S$68=TRUE,"2.","")))</f>
        <v/>
      </c>
      <c r="Y79" s="4" t="str">
        <f>IF($Q$68=TRUE,"Produktet har en emisjonstest som viser at emisjoner av formaldehyd er under 0,05 mg/m²h",IF($R$68=TRUE,"Ftalat DEHP",IF($S$68=TRUE,"Ftalatene DEHP, BBP og DBP","")))</f>
        <v/>
      </c>
      <c r="Z79" s="4" t="str">
        <f>IF($Q$68=TRUE,"NS-EN 15251:2007 (Tillegg C)","")</f>
        <v/>
      </c>
      <c r="AB79" s="4" t="str">
        <f>IF($Q$68=TRUE,"3.a",IF($R$68=TRUE,"3.",IF($S$68=TRUE,"3.","")))</f>
        <v/>
      </c>
      <c r="AC79" s="4" t="str">
        <f>IF($Q$68=TRUE,"Produktet har en emisjonstest som viser at emisjoner av ammoniakk er under 0,03 mg/m²h",IF($R$68=TRUE,"Mellomkjedede klorparafiner⁾",IF($S$68=TRUE,"Klorparafiner","")))</f>
        <v/>
      </c>
      <c r="AD79" s="4" t="str">
        <f>IF($Q$68=TRUE,"NS-EN 15251:2007 (Tillegg C)","")</f>
        <v/>
      </c>
      <c r="AE79" s="4" t="str">
        <f>IF($Q$68=TRUE,"3.b",IF($R$68=TRUE,"4.",IF($S$68=TRUE,"4.","")))</f>
        <v/>
      </c>
      <c r="AF79" s="4" t="str">
        <f>IF($Q$68=TRUE,"Produktet har ikke en emisjonstest som måler emisjoner av ammoniakk, men undertegnede kan bekrefte at ammoniakk ikke er sporbart aktivt i produktet, og at produktet ikke inneholder stoffer som kan avspaltes til ammoniakk",IF($R$68=TRUE,"Krom",IF($S$68=TRUE,"Krom","")))</f>
        <v/>
      </c>
      <c r="AG79" s="4" t="str">
        <f>IF($Q$68=TRUE,"","")</f>
        <v/>
      </c>
      <c r="AH79" s="4" t="str">
        <f>IF($Q$68=TRUE,"4.",IF($R$68=TRUE,"5.",IF($S$68=TRUE,"5.","")))</f>
        <v/>
      </c>
      <c r="AI79" s="4" t="str">
        <f>IF($Q$68=TRUE,"Produktet har en emisjonstest som viser at emisjoner av kreftfremkallende forbindelser (IARC) er under 0,005 mg/m²h",IF($R$68=TRUE,"Oktyl-nonylfenoler",IF($S$68=TRUE,"Oktyl-nonylfenoler","")))</f>
        <v/>
      </c>
      <c r="AJ79" s="4" t="str">
        <f>IF($Q$68=TRUE,"NS-EN 15251:2007 (Tillegg C)","")</f>
        <v/>
      </c>
      <c r="AK79" s="4" t="str">
        <f>IF($Q$68=TRUE,"5.",IF($R$68=TRUE,"6.",IF($S$68=TRUE,"6.","")))</f>
        <v/>
      </c>
      <c r="AL79" s="4" t="str">
        <f>IF($Q$68=TRUE,"Produktet har en emisjonstest som viser at misnøye med lukt er under 15%. Gjelder kun hvis relevant for produktet",IF($R$68=TRUE,"Siloksan (D4 og D5)",IF($S$68=TRUE,"Siloksan (D5)","")))</f>
        <v/>
      </c>
      <c r="AM79" s="4" t="str">
        <f>IF($Q$68=TRUE,"NS-EN 15251:2007 (Tillegg C)","")</f>
        <v/>
      </c>
      <c r="AN79" s="4" t="str">
        <f>IF($Q$68=TRUE,"6.","")</f>
        <v/>
      </c>
      <c r="AO79" s="4" t="str">
        <f>IF($Q$68=TRUE,"Testene i punkt 1-5 er utført iht. ISO 16000-serien med målinger gjort etter 28 dager","")</f>
        <v/>
      </c>
      <c r="AP79" s="4" t="str">
        <f>IF($Q$68=TRUE,"ISO 16000","")</f>
        <v/>
      </c>
      <c r="AQ79" s="4" t="str">
        <f>IF($Q$68=TRUE,"7.","")</f>
        <v/>
      </c>
      <c r="AR79" s="4" t="str">
        <f>IF($Q$68=TRUE,"Utslippet av formaldehyd og VCM (vinylkloridmonomer) skal være lavt og innenfor EN-standarden for materialet","")</f>
        <v/>
      </c>
      <c r="AS79" s="4" t="str">
        <f>IF($Q$68=TRUE,"EN 233:1999
EN 234:1989
EN 259:2001
EN 266:1992
EN 12149:1997","")</f>
        <v/>
      </c>
      <c r="AT79" s="4" t="str">
        <f>IF($Q$68=TRUE,"8.","")</f>
        <v/>
      </c>
      <c r="AU79" s="4" t="str">
        <f>IF($Q$68=TRUE,"Migrering av tungmetaller og andre giftige stoffer er innenfor EN-standarden for materialet","")</f>
        <v/>
      </c>
      <c r="AV79" s="4" t="str">
        <f>IF($Q$68=TRUE,"EN 12149:1997","")</f>
        <v/>
      </c>
      <c r="AW79" s="4"/>
      <c r="AX79" s="4"/>
      <c r="AY79" s="4"/>
      <c r="AZ79" s="4"/>
      <c r="BA79" s="4"/>
      <c r="BB79" s="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row>
    <row r="80" spans="1:124" ht="15" customHeight="1">
      <c r="A80" s="14"/>
      <c r="B80" s="14"/>
      <c r="C80" s="125" t="str">
        <f>IF($O$58=1,"",$U$70)</f>
        <v/>
      </c>
      <c r="D80" s="128" t="str">
        <f>IF($O$58=1,"",$V$70)</f>
        <v/>
      </c>
      <c r="E80" s="128"/>
      <c r="F80" s="128"/>
      <c r="G80" s="129"/>
      <c r="H80" s="30"/>
      <c r="I80" s="130" t="str">
        <f>IF($O$58=1,"",$W$70)</f>
        <v/>
      </c>
      <c r="J80" s="31"/>
      <c r="K80" s="31"/>
      <c r="L80" s="114"/>
      <c r="M80" s="115"/>
      <c r="N80" s="115"/>
      <c r="O80" s="116"/>
      <c r="P80" s="29"/>
      <c r="U80" s="7" t="str">
        <f>IF($Q$69=TRUE,"1.",IF($R$69=TRUE,"1.",IF($S$69=TRUE,"1.","")))</f>
        <v/>
      </c>
      <c r="V80" s="7" t="str">
        <f>IF($Q$69=TRUE,"Produktet har en emisjonstest som viser at emisjoner av TVOC er under 0,2 mg/m²h",IF($R$69=TRUE,"Bisfenol A",IF($S$69=TRUE,"Bisfenol A","")))</f>
        <v/>
      </c>
      <c r="W80" s="7" t="str">
        <f>IF($Q$69=TRUE,"NS-EN 15251:2007 (Tillegg C)","")</f>
        <v/>
      </c>
      <c r="X80" s="4" t="str">
        <f>IF($Q$69=TRUE,"2.",IF($R$69=TRUE,"2.",IF($S$69=TRUE,"2.","")))</f>
        <v/>
      </c>
      <c r="Y80" s="4" t="str">
        <f>IF($Q$69=TRUE,"Produktet har en emisjonstest som viser at emisjoner av formaldehyd er under 0,05 mg/m²h",IF($R$69=TRUE,"Ftalat DEHP",IF($S$69=TRUE,"Ftalatene DEHP, BBP og DBP","")))</f>
        <v/>
      </c>
      <c r="Z80" s="4" t="str">
        <f>IF($Q$69=TRUE,"NS-EN 15251:2007 (Tillegg C)","")</f>
        <v/>
      </c>
      <c r="AB80" s="4" t="str">
        <f>IF($Q$69=TRUE,"3.a",IF($R$69=TRUE,"3.",IF($S$69=TRUE,"3.","")))</f>
        <v/>
      </c>
      <c r="AC80" s="4" t="str">
        <f>IF($Q$69=TRUE,"Produktet har en emisjonstest som viser at emisjoner av ammoniakk er under 0,03 mg/m²h",IF($R$69=TRUE,"Mellomkjedede klorparafiner",IF($S$69=TRUE,"Klorparafiner","")))</f>
        <v/>
      </c>
      <c r="AD80" s="4"/>
      <c r="AE80" s="4" t="str">
        <f>IF($R$69=TRUE,"4.",IF($S$69=TRUE,"4.",""))</f>
        <v/>
      </c>
      <c r="AF80" s="4" t="str">
        <f>IF($R$69=TRUE,"Krom",IF($S$69=TRUE,"Krom",""))</f>
        <v/>
      </c>
      <c r="AG80" s="4"/>
      <c r="AH80" s="4" t="str">
        <f>IF($Q$69=TRUE,"4.",IF($R$69=TRUE,"5.",IF($S$69=TRUE,"5.","")))</f>
        <v/>
      </c>
      <c r="AI80" s="4" t="str">
        <f>IF($Q$69=TRUE,"Produktet har en emisjonstest som viser at emisjoner av kreftfremkallende forbindelser (IARC) er under 0,005 mg/m²h",IF($R$69=TRUE,"Oktyl-nonylfenoler",IF($S$69=TRUE,"Oktyl-nonylfenoler","")))</f>
        <v/>
      </c>
      <c r="AJ80" s="4"/>
      <c r="AK80" s="4" t="str">
        <f>IF($Q$69=TRUE,"5.",IF($R$69=TRUE,"6.",IF($S$69=TRUE,"6.","")))</f>
        <v/>
      </c>
      <c r="AL80" s="4" t="str">
        <f>IF($Q$69=TRUE,"Produktet har en emisjonstest som viser at misnøye med lukt er under 15%. Gjelder kun hvis relevant for produktet",IF($R$69=TRUE,"Siloksan (D4 og D5)",IF($S$69=TRUE,"Siloksan (D5)","")))</f>
        <v/>
      </c>
      <c r="AM80" s="4"/>
      <c r="AN80" s="4" t="str">
        <f>IF($R$69=TRUE,"7.",IF($S$69=TRUE,"7.",""))</f>
        <v/>
      </c>
      <c r="AO80" s="4" t="str">
        <f>IF($R$69=TRUE,"Kadmium",IF($S$69=TRUE,"Kadmium",""))</f>
        <v/>
      </c>
      <c r="AQ80" s="4" t="str">
        <f>IF($R$69=TRUE,"8.",IF($S$69=TRUE,"8.",""))</f>
        <v/>
      </c>
      <c r="AR80" s="4" t="str">
        <f>IF($R$69=TRUE,"Bly",IF($S$69=TRUE,"Bly",""))</f>
        <v/>
      </c>
      <c r="AT80" s="4" t="str">
        <f>IF($R$69=TRUE,"9.","")</f>
        <v/>
      </c>
      <c r="AU80" s="4" t="str">
        <f>IF($R$69=TRUE,"Tris(2-kloretyl)fosfat (TCEP)","")</f>
        <v/>
      </c>
      <c r="AZ80" s="4"/>
      <c r="BA80" s="4"/>
      <c r="BB80" s="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row>
    <row r="81" spans="1:124" ht="15" customHeight="1">
      <c r="A81" s="14"/>
      <c r="B81" s="14"/>
      <c r="C81" s="126"/>
      <c r="D81" s="130"/>
      <c r="E81" s="130"/>
      <c r="F81" s="130"/>
      <c r="G81" s="131"/>
      <c r="H81" s="30"/>
      <c r="I81" s="130"/>
      <c r="J81" s="14"/>
      <c r="K81" s="14"/>
      <c r="L81" s="117"/>
      <c r="M81" s="118"/>
      <c r="N81" s="118"/>
      <c r="O81" s="119"/>
      <c r="P81" s="29"/>
      <c r="T81" s="91" t="str">
        <f>CONCATENATE(T71,T72,T73,T74,T75,T76,T77,T78,T79,T80)</f>
        <v/>
      </c>
      <c r="U81" s="91" t="str">
        <f t="shared" ref="U81:AY81" si="2">CONCATENATE(U71,U72,U73,U74,U75,U76,U77,U78,U79,U80)</f>
        <v/>
      </c>
      <c r="V81" s="91" t="str">
        <f t="shared" si="2"/>
        <v/>
      </c>
      <c r="W81" s="91" t="str">
        <f t="shared" si="2"/>
        <v/>
      </c>
      <c r="X81" s="91" t="str">
        <f t="shared" si="2"/>
        <v/>
      </c>
      <c r="Y81" s="91" t="str">
        <f t="shared" si="2"/>
        <v/>
      </c>
      <c r="Z81" s="91" t="str">
        <f>CONCATENATE(Z71,Z72,Z73,Z74,Z75,Z76,Z77,Z78,Z79,Z80)</f>
        <v/>
      </c>
      <c r="AA81" s="91"/>
      <c r="AB81" s="91" t="str">
        <f t="shared" si="2"/>
        <v/>
      </c>
      <c r="AC81" s="91" t="str">
        <f t="shared" si="2"/>
        <v/>
      </c>
      <c r="AD81" s="91" t="str">
        <f t="shared" si="2"/>
        <v/>
      </c>
      <c r="AE81" s="91" t="str">
        <f t="shared" si="2"/>
        <v/>
      </c>
      <c r="AF81" s="91" t="str">
        <f t="shared" si="2"/>
        <v/>
      </c>
      <c r="AG81" s="91" t="str">
        <f t="shared" si="2"/>
        <v/>
      </c>
      <c r="AH81" s="91" t="str">
        <f t="shared" si="2"/>
        <v/>
      </c>
      <c r="AI81" s="91" t="str">
        <f t="shared" si="2"/>
        <v/>
      </c>
      <c r="AJ81" s="91" t="str">
        <f t="shared" si="2"/>
        <v/>
      </c>
      <c r="AK81" s="91" t="str">
        <f t="shared" si="2"/>
        <v/>
      </c>
      <c r="AL81" s="91" t="str">
        <f t="shared" si="2"/>
        <v/>
      </c>
      <c r="AM81" s="91" t="str">
        <f t="shared" si="2"/>
        <v/>
      </c>
      <c r="AN81" s="91" t="str">
        <f t="shared" si="2"/>
        <v/>
      </c>
      <c r="AO81" s="91" t="str">
        <f t="shared" si="2"/>
        <v/>
      </c>
      <c r="AP81" s="91" t="str">
        <f t="shared" si="2"/>
        <v/>
      </c>
      <c r="AQ81" s="91" t="str">
        <f t="shared" si="2"/>
        <v/>
      </c>
      <c r="AR81" s="91" t="str">
        <f t="shared" si="2"/>
        <v/>
      </c>
      <c r="AS81" s="91" t="str">
        <f t="shared" si="2"/>
        <v/>
      </c>
      <c r="AT81" s="91" t="str">
        <f t="shared" si="2"/>
        <v/>
      </c>
      <c r="AU81" s="91" t="str">
        <f t="shared" si="2"/>
        <v/>
      </c>
      <c r="AV81" s="91" t="str">
        <f t="shared" si="2"/>
        <v/>
      </c>
      <c r="AW81" s="91" t="str">
        <f t="shared" si="2"/>
        <v/>
      </c>
      <c r="AX81" s="91" t="str">
        <f t="shared" si="2"/>
        <v/>
      </c>
      <c r="AY81" s="91" t="str">
        <f t="shared" si="2"/>
        <v/>
      </c>
      <c r="AZ81" s="4"/>
      <c r="BA81" s="4"/>
      <c r="BB81" s="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row>
    <row r="82" spans="1:124" ht="15" customHeight="1">
      <c r="A82" s="14"/>
      <c r="B82" s="14"/>
      <c r="C82" s="127"/>
      <c r="D82" s="132"/>
      <c r="E82" s="132"/>
      <c r="F82" s="132"/>
      <c r="G82" s="133"/>
      <c r="H82" s="30"/>
      <c r="I82" s="130"/>
      <c r="J82" s="14"/>
      <c r="K82" s="14"/>
      <c r="L82" s="120"/>
      <c r="M82" s="121"/>
      <c r="N82" s="121"/>
      <c r="O82" s="122"/>
      <c r="P82" s="29"/>
      <c r="Q82" s="3">
        <v>2</v>
      </c>
      <c r="R82" s="3" t="str">
        <f>IF(C80="","",IF(Q82=1,TRUE,IF(Q82=2,FALSE,"IR")))</f>
        <v/>
      </c>
      <c r="S82" s="3">
        <f>IF(R82=TRUE,1,IF(R82=FALSE,1,0))</f>
        <v>0</v>
      </c>
      <c r="T82" s="4" t="str">
        <f>IF(R82="","",IF(R82=TRUE,"Ja",IF(R82=FALSE,"Nei","Ikke relevant")))</f>
        <v/>
      </c>
      <c r="U82" s="4"/>
      <c r="V82" s="4"/>
      <c r="W82" s="83"/>
      <c r="Z82" s="84"/>
      <c r="AA82" s="8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row>
    <row r="83" spans="1:124" ht="15" customHeight="1">
      <c r="A83" s="14"/>
      <c r="B83" s="14"/>
      <c r="C83" s="14"/>
      <c r="D83" s="14"/>
      <c r="E83" s="14"/>
      <c r="F83" s="14"/>
      <c r="G83" s="14"/>
      <c r="H83" s="14"/>
      <c r="I83" s="14"/>
      <c r="J83" s="14"/>
      <c r="K83" s="14"/>
      <c r="L83" s="14"/>
      <c r="M83" s="14"/>
      <c r="N83" s="14"/>
      <c r="O83" s="14"/>
      <c r="P83" s="40" t="str">
        <f>IF(BC62=TRUE,"Til utskrift",IF(BC63=TRUE,"Til utskrift",IF(BC66=TRUE,"Til utskrift","")))</f>
        <v/>
      </c>
      <c r="U83" s="3" t="b">
        <f>IF(D80="",FALSE,TRUE)</f>
        <v>0</v>
      </c>
      <c r="V83" s="3" t="b">
        <f>IF(I80="",FALSE,TRUE)</f>
        <v>0</v>
      </c>
      <c r="BH83" s="40"/>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row>
    <row r="84" spans="1:124" ht="15" customHeight="1">
      <c r="A84" s="14"/>
      <c r="B84" s="14"/>
      <c r="C84" s="125" t="str">
        <f>IF($O$58=1,"",$X$70)</f>
        <v/>
      </c>
      <c r="D84" s="128" t="str">
        <f>IF($O$58=1,"",$Y$70)</f>
        <v/>
      </c>
      <c r="E84" s="128"/>
      <c r="F84" s="128"/>
      <c r="G84" s="129"/>
      <c r="H84" s="30"/>
      <c r="I84" s="130" t="str">
        <f>IF($O$58=1,"",$Z$70)</f>
        <v/>
      </c>
      <c r="J84" s="14"/>
      <c r="K84" s="14"/>
      <c r="L84" s="114"/>
      <c r="M84" s="115"/>
      <c r="N84" s="115"/>
      <c r="O84" s="116"/>
      <c r="P84" s="14"/>
      <c r="U84" s="3" t="b">
        <f>IF(D84="",FALSE,TRUE)</f>
        <v>0</v>
      </c>
      <c r="V84" s="3" t="b">
        <f>IF(I84="",FALSE,TRUE)</f>
        <v>0</v>
      </c>
      <c r="W84" s="85"/>
      <c r="Z84" s="84"/>
      <c r="AA84" s="84"/>
      <c r="AB84" s="8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row>
    <row r="85" spans="1:124" ht="15" customHeight="1">
      <c r="A85" s="14"/>
      <c r="B85" s="14"/>
      <c r="C85" s="126"/>
      <c r="D85" s="130"/>
      <c r="E85" s="130"/>
      <c r="F85" s="130"/>
      <c r="G85" s="131"/>
      <c r="H85" s="30"/>
      <c r="I85" s="130"/>
      <c r="J85" s="14"/>
      <c r="K85" s="14"/>
      <c r="L85" s="117"/>
      <c r="M85" s="118"/>
      <c r="N85" s="118"/>
      <c r="O85" s="119"/>
      <c r="P85" s="14"/>
      <c r="U85" s="3" t="b">
        <f>IF(D90="",FALSE,TRUE)</f>
        <v>0</v>
      </c>
      <c r="V85" s="3" t="b">
        <f>IF(I90="",FALSE,TRUE)</f>
        <v>0</v>
      </c>
      <c r="W85" s="86"/>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row>
    <row r="86" spans="1:124" ht="15" customHeight="1">
      <c r="A86" s="14"/>
      <c r="B86" s="14"/>
      <c r="C86" s="126"/>
      <c r="D86" s="130"/>
      <c r="E86" s="130"/>
      <c r="F86" s="130"/>
      <c r="G86" s="131"/>
      <c r="H86" s="30"/>
      <c r="I86" s="130"/>
      <c r="J86" s="14"/>
      <c r="K86" s="14"/>
      <c r="L86" s="117"/>
      <c r="M86" s="118"/>
      <c r="N86" s="118"/>
      <c r="O86" s="119"/>
      <c r="P86" s="14"/>
      <c r="Q86" s="3">
        <v>1</v>
      </c>
      <c r="R86" s="3" t="str">
        <f>IF(C84="","",IF(Q86=1,TRUE,IF(Q86=2,FALSE,"IR")))</f>
        <v/>
      </c>
      <c r="S86" s="3">
        <f>IF(R86=TRUE,1,IF(R86=FALSE,1,0))</f>
        <v>0</v>
      </c>
      <c r="T86" s="3" t="str">
        <f>IF(R86="","",IF(R86=TRUE,"Ja",IF(R86=FALSE,"Nei","Ikke relevant")))</f>
        <v/>
      </c>
      <c r="U86" s="3" t="b">
        <f>IF(D94="",FALSE,TRUE)</f>
        <v>0</v>
      </c>
      <c r="V86" s="3" t="b">
        <f>IF(I94="",FALSE,TRUE)</f>
        <v>0</v>
      </c>
      <c r="BH86" s="40"/>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row>
    <row r="87" spans="1:124">
      <c r="A87" s="14"/>
      <c r="B87" s="14"/>
      <c r="C87" s="126"/>
      <c r="D87" s="130"/>
      <c r="E87" s="130"/>
      <c r="F87" s="130"/>
      <c r="G87" s="131"/>
      <c r="H87" s="30"/>
      <c r="I87" s="130"/>
      <c r="J87" s="14"/>
      <c r="K87" s="14"/>
      <c r="L87" s="117"/>
      <c r="M87" s="118"/>
      <c r="N87" s="118"/>
      <c r="O87" s="119"/>
      <c r="P87" s="14"/>
      <c r="U87" s="3" t="b">
        <f>IF(D101="",FALSE,TRUE)</f>
        <v>0</v>
      </c>
      <c r="V87" s="3" t="b">
        <f>IF(I101="",FALSE,TRUE)</f>
        <v>0</v>
      </c>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row>
    <row r="88" spans="1:124">
      <c r="A88" s="14"/>
      <c r="B88" s="14"/>
      <c r="C88" s="127"/>
      <c r="D88" s="132"/>
      <c r="E88" s="132"/>
      <c r="F88" s="132"/>
      <c r="G88" s="133"/>
      <c r="H88" s="30"/>
      <c r="I88" s="130"/>
      <c r="J88" s="14"/>
      <c r="K88" s="14"/>
      <c r="L88" s="120"/>
      <c r="M88" s="121"/>
      <c r="N88" s="121"/>
      <c r="O88" s="122"/>
      <c r="P88" s="14"/>
      <c r="U88" s="3" t="b">
        <f>IF(D106="",FALSE,TRUE)</f>
        <v>0</v>
      </c>
      <c r="V88" s="3" t="b">
        <f>IF(I106="",FALSE,TRUE)</f>
        <v>0</v>
      </c>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row>
    <row r="89" spans="1:124">
      <c r="A89" s="14"/>
      <c r="B89" s="14"/>
      <c r="C89" s="14"/>
      <c r="D89" s="14"/>
      <c r="E89" s="14"/>
      <c r="F89" s="14"/>
      <c r="G89" s="14"/>
      <c r="H89" s="14"/>
      <c r="I89" s="14"/>
      <c r="J89" s="14"/>
      <c r="K89" s="14"/>
      <c r="L89" s="14"/>
      <c r="M89" s="14"/>
      <c r="N89" s="14"/>
      <c r="O89" s="14"/>
      <c r="P89" s="40" t="str">
        <f>IF(Q65=TRUE,"Til deklarering","")</f>
        <v/>
      </c>
      <c r="U89" s="3" t="b">
        <f>IF(D111="",FALSE,TRUE)</f>
        <v>0</v>
      </c>
      <c r="V89" s="3" t="b">
        <f>IF(I111="",FALSE,TRUE)</f>
        <v>0</v>
      </c>
      <c r="BH89" s="40"/>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row>
    <row r="90" spans="1:124">
      <c r="A90" s="14"/>
      <c r="B90" s="14"/>
      <c r="C90" s="125" t="str">
        <f>IF($O$58=1,"",$AB$70)</f>
        <v/>
      </c>
      <c r="D90" s="128" t="str">
        <f>IF($O$58=1,"",$AC$70)</f>
        <v/>
      </c>
      <c r="E90" s="128"/>
      <c r="F90" s="128"/>
      <c r="G90" s="129"/>
      <c r="H90" s="30"/>
      <c r="I90" s="123" t="str">
        <f>IF($O$58=1,"",$AD$70)</f>
        <v/>
      </c>
      <c r="J90" s="14"/>
      <c r="K90" s="14"/>
      <c r="L90" s="114"/>
      <c r="M90" s="115"/>
      <c r="N90" s="115"/>
      <c r="O90" s="116"/>
      <c r="P90" s="14"/>
      <c r="U90" s="3" t="b">
        <f>IF(D116="",FALSE,TRUE)</f>
        <v>0</v>
      </c>
      <c r="V90" s="3" t="b">
        <f>IF(I116="",FALSE,TRUE)</f>
        <v>0</v>
      </c>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row>
    <row r="91" spans="1:124">
      <c r="A91" s="14"/>
      <c r="B91" s="14"/>
      <c r="C91" s="126"/>
      <c r="D91" s="130"/>
      <c r="E91" s="130"/>
      <c r="F91" s="130"/>
      <c r="G91" s="131"/>
      <c r="H91" s="30"/>
      <c r="I91" s="123"/>
      <c r="J91" s="14"/>
      <c r="K91" s="14"/>
      <c r="L91" s="117"/>
      <c r="M91" s="118"/>
      <c r="N91" s="118"/>
      <c r="O91" s="119"/>
      <c r="P91" s="14"/>
      <c r="U91" s="3" t="b">
        <f>IF(D122="",FALSE,TRUE)</f>
        <v>0</v>
      </c>
      <c r="V91" s="3" t="b">
        <f>IF(I122="",FALSE,TRUE)</f>
        <v>0</v>
      </c>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row>
    <row r="92" spans="1:124">
      <c r="A92" s="14"/>
      <c r="B92" s="14"/>
      <c r="C92" s="127"/>
      <c r="D92" s="132"/>
      <c r="E92" s="132"/>
      <c r="F92" s="132"/>
      <c r="G92" s="133"/>
      <c r="H92" s="30"/>
      <c r="I92" s="123"/>
      <c r="J92" s="14"/>
      <c r="K92" s="14"/>
      <c r="L92" s="120"/>
      <c r="M92" s="121"/>
      <c r="N92" s="121"/>
      <c r="O92" s="122"/>
      <c r="P92" s="14"/>
      <c r="Q92" s="3">
        <v>2</v>
      </c>
      <c r="R92" s="3" t="str">
        <f>IF(C90="","",IF(Q92=1,TRUE,IF(Q92=2,FALSE,"IR")))</f>
        <v/>
      </c>
      <c r="S92" s="3">
        <f>IF(R92=TRUE,1,IF(R92=FALSE,1,0))</f>
        <v>0</v>
      </c>
      <c r="T92" s="3" t="str">
        <f>IF(R92="","",IF(R92=TRUE,"Ja",IF(R92=FALSE,"Nei","Ikke relevant")))</f>
        <v/>
      </c>
      <c r="U92" s="3" t="b">
        <f>IF(D127="",FALSE,TRUE)</f>
        <v>0</v>
      </c>
      <c r="V92" s="3" t="b">
        <f>IF(I127="",FALSE,TRUE)</f>
        <v>0</v>
      </c>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row>
    <row r="93" spans="1:124">
      <c r="A93" s="14"/>
      <c r="B93" s="14"/>
      <c r="C93" s="14"/>
      <c r="D93" s="14"/>
      <c r="E93" s="14"/>
      <c r="F93" s="14"/>
      <c r="G93" s="14"/>
      <c r="H93" s="14"/>
      <c r="I93" s="14"/>
      <c r="J93" s="14"/>
      <c r="K93" s="14"/>
      <c r="L93" s="14"/>
      <c r="M93" s="14"/>
      <c r="N93" s="14"/>
      <c r="O93" s="14"/>
      <c r="P93" s="14"/>
      <c r="BH93" s="40"/>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row>
    <row r="94" spans="1:124" ht="15" customHeight="1">
      <c r="A94" s="14"/>
      <c r="B94" s="14"/>
      <c r="C94" s="125" t="str">
        <f>IF($O$58=1,"",$AE$70)</f>
        <v/>
      </c>
      <c r="D94" s="128" t="str">
        <f>IF($O$58=1,"",$AF$70)</f>
        <v/>
      </c>
      <c r="E94" s="128"/>
      <c r="F94" s="128"/>
      <c r="G94" s="129"/>
      <c r="H94" s="32"/>
      <c r="I94" s="177" t="str">
        <f>IF($O$58=1,"",$AG$70)</f>
        <v/>
      </c>
      <c r="J94" s="14"/>
      <c r="K94" s="14"/>
      <c r="L94" s="114"/>
      <c r="M94" s="115"/>
      <c r="N94" s="115"/>
      <c r="O94" s="116"/>
      <c r="P94" s="14"/>
      <c r="U94" s="3" t="b">
        <f>IF($R$65=TRUE,FALSE,IF($R$69=TRUE,FALSE,IF($R$68=TRUE,FALSE,IF($R$67=TRUE,FALSE,IF($C$136="",FALSE,IF($T$57=TRUE,FALSE,TRUE))))))</f>
        <v>0</v>
      </c>
      <c r="V94" s="3" t="b">
        <f>IF(O46=1,FALSE,IF(I136="",FALSE,IF(T57=FALSE,TRUE,FALSE)))</f>
        <v>0</v>
      </c>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row>
    <row r="95" spans="1:124">
      <c r="A95" s="14"/>
      <c r="B95" s="14"/>
      <c r="C95" s="126"/>
      <c r="D95" s="130"/>
      <c r="E95" s="130"/>
      <c r="F95" s="130"/>
      <c r="G95" s="131"/>
      <c r="H95" s="32"/>
      <c r="I95" s="177"/>
      <c r="J95" s="14"/>
      <c r="K95" s="14"/>
      <c r="L95" s="117"/>
      <c r="M95" s="118"/>
      <c r="N95" s="118"/>
      <c r="O95" s="119"/>
      <c r="P95" s="14"/>
      <c r="U95" s="3" t="b">
        <f>IF(C139="",FALSE,TRUE)</f>
        <v>0</v>
      </c>
      <c r="V95" s="3" t="b">
        <f>IF(U95=FALSE,FALSE,TRUE)</f>
        <v>0</v>
      </c>
      <c r="AE95" s="85"/>
      <c r="AF95" s="85"/>
      <c r="AG95" s="85"/>
      <c r="AH95" s="85"/>
      <c r="AI95" s="85"/>
      <c r="AJ95" s="85"/>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row>
    <row r="96" spans="1:124">
      <c r="A96" s="14"/>
      <c r="B96" s="14"/>
      <c r="C96" s="126"/>
      <c r="D96" s="130"/>
      <c r="E96" s="130"/>
      <c r="F96" s="130"/>
      <c r="G96" s="131"/>
      <c r="H96" s="32"/>
      <c r="I96" s="177"/>
      <c r="J96" s="14"/>
      <c r="K96" s="14"/>
      <c r="L96" s="117"/>
      <c r="M96" s="118"/>
      <c r="N96" s="118"/>
      <c r="O96" s="119"/>
      <c r="P96" s="14"/>
      <c r="BH96" s="40"/>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row>
    <row r="97" spans="1:124">
      <c r="A97" s="14"/>
      <c r="B97" s="14"/>
      <c r="C97" s="126"/>
      <c r="D97" s="130"/>
      <c r="E97" s="130"/>
      <c r="F97" s="130"/>
      <c r="G97" s="131"/>
      <c r="H97" s="32"/>
      <c r="I97" s="177"/>
      <c r="J97" s="14"/>
      <c r="K97" s="14"/>
      <c r="L97" s="117"/>
      <c r="M97" s="118"/>
      <c r="N97" s="118"/>
      <c r="O97" s="119"/>
      <c r="P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row>
    <row r="98" spans="1:124">
      <c r="A98" s="14"/>
      <c r="B98" s="14"/>
      <c r="C98" s="126"/>
      <c r="D98" s="130"/>
      <c r="E98" s="130"/>
      <c r="F98" s="130"/>
      <c r="G98" s="131"/>
      <c r="H98" s="32"/>
      <c r="I98" s="177"/>
      <c r="J98" s="14"/>
      <c r="K98" s="14"/>
      <c r="L98" s="117"/>
      <c r="M98" s="118"/>
      <c r="N98" s="118"/>
      <c r="O98" s="119"/>
      <c r="P98" s="14"/>
      <c r="Q98" s="3">
        <v>2</v>
      </c>
      <c r="R98" s="3" t="str">
        <f>IF(C94="","",IF(Q98=1,TRUE,IF(Q98=2,FALSE,"IR")))</f>
        <v/>
      </c>
      <c r="S98" s="3">
        <f>IF(R98=TRUE,1,IF(R98=FALSE,1,0))</f>
        <v>0</v>
      </c>
      <c r="T98" s="3" t="str">
        <f>IF(R98="","",IF(R98=TRUE,"Ja",IF(R98=FALSE,"Nei","Ikke relevant")))</f>
        <v/>
      </c>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row>
    <row r="99" spans="1:124">
      <c r="A99" s="14"/>
      <c r="B99" s="14"/>
      <c r="C99" s="127"/>
      <c r="D99" s="132"/>
      <c r="E99" s="132"/>
      <c r="F99" s="132"/>
      <c r="G99" s="133"/>
      <c r="H99" s="32"/>
      <c r="I99" s="177"/>
      <c r="J99" s="14"/>
      <c r="K99" s="14"/>
      <c r="L99" s="120"/>
      <c r="M99" s="121"/>
      <c r="N99" s="121"/>
      <c r="O99" s="122"/>
      <c r="P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row>
    <row r="100" spans="1:124">
      <c r="A100" s="14"/>
      <c r="B100" s="14"/>
      <c r="C100" s="28"/>
      <c r="D100" s="33"/>
      <c r="E100" s="33"/>
      <c r="F100" s="33"/>
      <c r="G100" s="33"/>
      <c r="H100" s="33"/>
      <c r="I100" s="14"/>
      <c r="J100" s="14"/>
      <c r="K100" s="14"/>
      <c r="L100" s="14"/>
      <c r="M100" s="14"/>
      <c r="N100" s="14"/>
      <c r="O100" s="14"/>
      <c r="P100" s="14"/>
      <c r="BH100" s="40"/>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row>
    <row r="101" spans="1:124" ht="15" customHeight="1">
      <c r="A101" s="14"/>
      <c r="B101" s="14"/>
      <c r="C101" s="125" t="str">
        <f>IF($O$58=1,"",$AH$70)</f>
        <v/>
      </c>
      <c r="D101" s="128" t="str">
        <f>IF($O$58=1,"",$AI$70)</f>
        <v/>
      </c>
      <c r="E101" s="128"/>
      <c r="F101" s="128"/>
      <c r="G101" s="129"/>
      <c r="H101" s="32"/>
      <c r="I101" s="123" t="str">
        <f>IF($O$58=1,"",$AJ$70)</f>
        <v/>
      </c>
      <c r="J101" s="14"/>
      <c r="K101" s="14"/>
      <c r="L101" s="114"/>
      <c r="M101" s="115"/>
      <c r="N101" s="115"/>
      <c r="O101" s="116"/>
      <c r="P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row>
    <row r="102" spans="1:124">
      <c r="A102" s="14"/>
      <c r="B102" s="14"/>
      <c r="C102" s="126"/>
      <c r="D102" s="130"/>
      <c r="E102" s="130"/>
      <c r="F102" s="130"/>
      <c r="G102" s="131"/>
      <c r="H102" s="32"/>
      <c r="I102" s="123"/>
      <c r="J102" s="14"/>
      <c r="K102" s="14"/>
      <c r="L102" s="117"/>
      <c r="M102" s="118"/>
      <c r="N102" s="118"/>
      <c r="O102" s="119"/>
      <c r="P102" s="14"/>
      <c r="Q102" s="3">
        <v>2</v>
      </c>
      <c r="R102" s="3" t="str">
        <f>IF(C101="","",IF(Q102=1,TRUE,IF(Q102=2,FALSE,"IR")))</f>
        <v/>
      </c>
      <c r="S102" s="3">
        <f>IF(R102=TRUE,1,IF(R102=FALSE,1,0))</f>
        <v>0</v>
      </c>
      <c r="T102" s="3" t="str">
        <f>IF(R102="","",IF(R102=TRUE,"Ja",IF(R102=FALSE,"Nei","Ikke relevant")))</f>
        <v/>
      </c>
      <c r="BH102" s="40"/>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row>
    <row r="103" spans="1:124">
      <c r="A103" s="14"/>
      <c r="B103" s="14"/>
      <c r="C103" s="126"/>
      <c r="D103" s="130"/>
      <c r="E103" s="130"/>
      <c r="F103" s="130"/>
      <c r="G103" s="131"/>
      <c r="H103" s="32"/>
      <c r="I103" s="123"/>
      <c r="J103" s="14"/>
      <c r="K103" s="14"/>
      <c r="L103" s="117"/>
      <c r="M103" s="118"/>
      <c r="N103" s="118"/>
      <c r="O103" s="119"/>
      <c r="P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row>
    <row r="104" spans="1:124">
      <c r="A104" s="14"/>
      <c r="B104" s="14"/>
      <c r="C104" s="127"/>
      <c r="D104" s="132"/>
      <c r="E104" s="132"/>
      <c r="F104" s="132"/>
      <c r="G104" s="133"/>
      <c r="H104" s="32"/>
      <c r="I104" s="123"/>
      <c r="J104" s="14"/>
      <c r="K104" s="14"/>
      <c r="L104" s="120"/>
      <c r="M104" s="121"/>
      <c r="N104" s="121"/>
      <c r="O104" s="122"/>
      <c r="P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row>
    <row r="105" spans="1:124">
      <c r="A105" s="14"/>
      <c r="B105" s="14"/>
      <c r="C105" s="14"/>
      <c r="D105" s="14"/>
      <c r="E105" s="14"/>
      <c r="F105" s="14"/>
      <c r="G105" s="14"/>
      <c r="H105" s="14"/>
      <c r="I105" s="14"/>
      <c r="J105" s="14"/>
      <c r="K105" s="14"/>
      <c r="L105" s="14"/>
      <c r="M105" s="14"/>
      <c r="N105" s="14"/>
      <c r="O105" s="14"/>
      <c r="P105" s="40" t="str">
        <f>IF(BC61=TRUE,"Til utskrift",IF(BC65=TRUE,"Til utskrift",IF(BC67=TRUE,"Til utskrift","")))</f>
        <v/>
      </c>
      <c r="BH105" s="40"/>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row>
    <row r="106" spans="1:124" ht="15" customHeight="1">
      <c r="A106" s="14"/>
      <c r="B106" s="14"/>
      <c r="C106" s="125" t="str">
        <f>IF($O$58=1,"",$AK$70)</f>
        <v/>
      </c>
      <c r="D106" s="128" t="str">
        <f>IF($O$58=1,"",$AL$70)</f>
        <v/>
      </c>
      <c r="E106" s="128"/>
      <c r="F106" s="128"/>
      <c r="G106" s="129"/>
      <c r="H106" s="32"/>
      <c r="I106" s="123" t="str">
        <f>IF($O$58=1,"",$AM$70)</f>
        <v/>
      </c>
      <c r="J106" s="14"/>
      <c r="K106" s="14"/>
      <c r="L106" s="114"/>
      <c r="M106" s="115"/>
      <c r="N106" s="115"/>
      <c r="O106" s="116"/>
      <c r="P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row>
    <row r="107" spans="1:124">
      <c r="A107" s="14"/>
      <c r="B107" s="14"/>
      <c r="C107" s="126"/>
      <c r="D107" s="130"/>
      <c r="E107" s="130"/>
      <c r="F107" s="130"/>
      <c r="G107" s="131"/>
      <c r="H107" s="32"/>
      <c r="I107" s="123"/>
      <c r="J107" s="14"/>
      <c r="K107" s="14"/>
      <c r="L107" s="117"/>
      <c r="M107" s="118"/>
      <c r="N107" s="118"/>
      <c r="O107" s="119"/>
      <c r="P107" s="14"/>
      <c r="Q107" s="3">
        <v>2</v>
      </c>
      <c r="R107" s="3" t="str">
        <f>IF(C106="","",IF(Q107=1,TRUE,IF(Q107=2,FALSE,IF(V107=TRUE,TRUE,"IR"))))</f>
        <v/>
      </c>
      <c r="S107" s="3">
        <f>IF(R107=TRUE,1,IF(R107=FALSE,1,0))</f>
        <v>0</v>
      </c>
      <c r="T107" s="3" t="str">
        <f>IF(R107="","",IF(V107=TRUE,"Ikke bekreftet",IF(R107=TRUE,"Ja",IF(R107=FALSE,"Nei",U107))))</f>
        <v/>
      </c>
      <c r="U107" s="3" t="str">
        <f>IF(O46=3,"Ikke relevant",IF(O46=2,"Ikke bekreftet",""))</f>
        <v/>
      </c>
      <c r="V107" s="3" t="b">
        <f>IF(O46=2,IF(Q107=3,TRUE,FALSE))</f>
        <v>0</v>
      </c>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row>
    <row r="108" spans="1:124">
      <c r="A108" s="14"/>
      <c r="B108" s="14"/>
      <c r="C108" s="126"/>
      <c r="D108" s="130"/>
      <c r="E108" s="130"/>
      <c r="F108" s="130"/>
      <c r="G108" s="131"/>
      <c r="H108" s="32"/>
      <c r="I108" s="123"/>
      <c r="J108" s="14"/>
      <c r="K108" s="14"/>
      <c r="L108" s="117"/>
      <c r="M108" s="118"/>
      <c r="N108" s="118"/>
      <c r="O108" s="119"/>
      <c r="P108" s="14"/>
      <c r="BH108" s="40"/>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row>
    <row r="109" spans="1:124">
      <c r="A109" s="14"/>
      <c r="B109" s="14"/>
      <c r="C109" s="127"/>
      <c r="D109" s="132"/>
      <c r="E109" s="132"/>
      <c r="F109" s="132"/>
      <c r="G109" s="133"/>
      <c r="H109" s="32"/>
      <c r="I109" s="123"/>
      <c r="J109" s="14"/>
      <c r="K109" s="14"/>
      <c r="L109" s="120"/>
      <c r="M109" s="121"/>
      <c r="N109" s="121"/>
      <c r="O109" s="122"/>
      <c r="P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row>
    <row r="110" spans="1:124">
      <c r="A110" s="14"/>
      <c r="B110" s="14"/>
      <c r="C110" s="14"/>
      <c r="D110" s="14"/>
      <c r="E110" s="14"/>
      <c r="F110" s="14"/>
      <c r="G110" s="14"/>
      <c r="H110" s="14"/>
      <c r="I110" s="14"/>
      <c r="J110" s="14"/>
      <c r="K110" s="14"/>
      <c r="L110" s="14"/>
      <c r="M110" s="14"/>
      <c r="N110" s="14"/>
      <c r="O110" s="14"/>
      <c r="P110" s="40" t="str">
        <f>IF(BC64=TRUE,"Til utskrift",IF(BC68=TRUE,"Til utskrift",""))</f>
        <v/>
      </c>
      <c r="BH110" s="40"/>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row>
    <row r="111" spans="1:124" ht="15" customHeight="1">
      <c r="A111" s="14"/>
      <c r="B111" s="14"/>
      <c r="C111" s="125" t="str">
        <f>IF($O$58=1,"",$AN$70)</f>
        <v/>
      </c>
      <c r="D111" s="128" t="str">
        <f>IF($O$58=1,"",$AO$70)</f>
        <v/>
      </c>
      <c r="E111" s="128"/>
      <c r="F111" s="128"/>
      <c r="G111" s="129"/>
      <c r="H111" s="32"/>
      <c r="I111" s="123" t="str">
        <f>IF($O$58=1,"",$AP$70)</f>
        <v/>
      </c>
      <c r="J111" s="14"/>
      <c r="K111" s="14"/>
      <c r="L111" s="114"/>
      <c r="M111" s="115"/>
      <c r="N111" s="115"/>
      <c r="O111" s="116"/>
      <c r="P111" s="14"/>
      <c r="Y111" s="3" t="b">
        <f>AND($S$66=TRUE,$Q$130=1)</f>
        <v>0</v>
      </c>
      <c r="Z111" s="3" t="b">
        <f>AND($S$62=TRUE,$Q$130=1)</f>
        <v>0</v>
      </c>
      <c r="AA111" s="3" t="b">
        <f>AND($S$63=TRUE,$Q$130=1)</f>
        <v>0</v>
      </c>
      <c r="AB111" s="3" t="b">
        <f>OR(Y111,Z111,AA111)</f>
        <v>0</v>
      </c>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row>
    <row r="112" spans="1:124">
      <c r="A112" s="14"/>
      <c r="B112" s="14"/>
      <c r="C112" s="126"/>
      <c r="D112" s="130"/>
      <c r="E112" s="130"/>
      <c r="F112" s="130"/>
      <c r="G112" s="131"/>
      <c r="H112" s="32"/>
      <c r="I112" s="123"/>
      <c r="J112" s="14"/>
      <c r="K112" s="14"/>
      <c r="L112" s="117"/>
      <c r="M112" s="118"/>
      <c r="N112" s="118"/>
      <c r="O112" s="119"/>
      <c r="P112" s="14"/>
      <c r="Q112" s="3">
        <v>2</v>
      </c>
      <c r="R112" s="3" t="str">
        <f>IF(C111="","",IF(Q112=1,TRUE,IF(Q112=2,FALSE,"IR")))</f>
        <v/>
      </c>
      <c r="S112" s="3">
        <f>IF(R112=TRUE,1,IF(R112=FALSE,1,0))</f>
        <v>0</v>
      </c>
      <c r="T112" s="3" t="str">
        <f>IF(R112="","",IF(R112=TRUE,"Ja",IF(R112=FALSE,"Nei","Ikke relevant")))</f>
        <v/>
      </c>
      <c r="Y112" s="3" t="b">
        <f>AND($R$66=TRUE,$Q$130=1)</f>
        <v>0</v>
      </c>
      <c r="Z112" s="3" t="b">
        <f>AND($R$62=TRUE,$Q$130=1)</f>
        <v>0</v>
      </c>
      <c r="AA112" s="3" t="b">
        <f>AND($R$63=TRUE,$Q$130=1)</f>
        <v>0</v>
      </c>
      <c r="AB112" s="3" t="b">
        <f>OR(Y112,Z112,AA112)</f>
        <v>0</v>
      </c>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row>
    <row r="113" spans="1:124">
      <c r="A113" s="14"/>
      <c r="B113" s="14"/>
      <c r="C113" s="126"/>
      <c r="D113" s="130"/>
      <c r="E113" s="130"/>
      <c r="F113" s="130"/>
      <c r="G113" s="131"/>
      <c r="H113" s="32"/>
      <c r="I113" s="123"/>
      <c r="J113" s="14"/>
      <c r="K113" s="14"/>
      <c r="L113" s="117"/>
      <c r="M113" s="118"/>
      <c r="N113" s="118"/>
      <c r="O113" s="119"/>
      <c r="P113" s="14"/>
      <c r="AB113" s="3" t="b">
        <f>OR(AB111,AB112)</f>
        <v>0</v>
      </c>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row>
    <row r="114" spans="1:124">
      <c r="A114" s="14"/>
      <c r="B114" s="14"/>
      <c r="C114" s="127"/>
      <c r="D114" s="132"/>
      <c r="E114" s="132"/>
      <c r="F114" s="132"/>
      <c r="G114" s="133"/>
      <c r="H114" s="32"/>
      <c r="I114" s="123"/>
      <c r="J114" s="14"/>
      <c r="K114" s="14"/>
      <c r="L114" s="120"/>
      <c r="M114" s="121"/>
      <c r="N114" s="121"/>
      <c r="O114" s="122"/>
      <c r="P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row>
    <row r="115" spans="1:124">
      <c r="A115" s="14"/>
      <c r="B115" s="14"/>
      <c r="C115" s="14"/>
      <c r="D115" s="14"/>
      <c r="E115" s="14"/>
      <c r="F115" s="14"/>
      <c r="G115" s="14"/>
      <c r="H115" s="14"/>
      <c r="I115" s="14"/>
      <c r="J115" s="14"/>
      <c r="K115" s="14"/>
      <c r="L115" s="14"/>
      <c r="M115" s="14"/>
      <c r="N115" s="14"/>
      <c r="O115" s="14"/>
      <c r="P115" s="40" t="str">
        <f>IF(BC60=TRUE,"Til utskrift",IF(Q60=TRUE,"Til utskrift",""))</f>
        <v/>
      </c>
      <c r="Y115" s="3" t="b">
        <f>AND($S$66=TRUE,$Q$130=0)</f>
        <v>0</v>
      </c>
      <c r="Z115" s="3" t="b">
        <f>AND($S$62=TRUE,$Q$130=0)</f>
        <v>0</v>
      </c>
      <c r="AA115" s="3" t="b">
        <f>AND($S$63=TRUE,$Q$130=0)</f>
        <v>0</v>
      </c>
      <c r="AB115" s="3" t="b">
        <f>OR(Y115,Z115,AA115)</f>
        <v>0</v>
      </c>
      <c r="BH115" s="40"/>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row>
    <row r="116" spans="1:124">
      <c r="A116" s="14"/>
      <c r="B116" s="14"/>
      <c r="C116" s="125" t="str">
        <f>IF($O$58=1,"",$AQ$70)</f>
        <v/>
      </c>
      <c r="D116" s="128" t="str">
        <f>IF($O$58=1,"",$AR$70)</f>
        <v/>
      </c>
      <c r="E116" s="128"/>
      <c r="F116" s="128"/>
      <c r="G116" s="129"/>
      <c r="H116" s="32"/>
      <c r="I116" s="123" t="str">
        <f>IF($O$58=1,"",$AS$70)</f>
        <v/>
      </c>
      <c r="J116" s="14"/>
      <c r="K116" s="14"/>
      <c r="L116" s="114"/>
      <c r="M116" s="115"/>
      <c r="N116" s="115"/>
      <c r="O116" s="116"/>
      <c r="P116" s="14"/>
      <c r="Y116" s="3" t="b">
        <f>AND($R$66=TRUE,$Q$130=0)</f>
        <v>0</v>
      </c>
      <c r="Z116" s="3" t="b">
        <f>AND($R$62=TRUE,$Q$130=0)</f>
        <v>0</v>
      </c>
      <c r="AA116" s="3" t="b">
        <f>AND($R$63=TRUE,$Q$130=0)</f>
        <v>0</v>
      </c>
      <c r="AB116" s="3" t="b">
        <f>OR(Y116,Z116,AA116)</f>
        <v>0</v>
      </c>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row>
    <row r="117" spans="1:124">
      <c r="A117" s="14"/>
      <c r="B117" s="14"/>
      <c r="C117" s="126"/>
      <c r="D117" s="130"/>
      <c r="E117" s="130"/>
      <c r="F117" s="130"/>
      <c r="G117" s="131"/>
      <c r="H117" s="32"/>
      <c r="I117" s="123"/>
      <c r="J117" s="14"/>
      <c r="K117" s="14"/>
      <c r="L117" s="117"/>
      <c r="M117" s="118"/>
      <c r="N117" s="118"/>
      <c r="O117" s="119"/>
      <c r="P117" s="14"/>
      <c r="Q117" s="3">
        <v>2</v>
      </c>
      <c r="R117" s="3" t="str">
        <f>IF(C116="","",IF(Q117=1,TRUE,IF(Q117=2,FALSE,"IR")))</f>
        <v/>
      </c>
      <c r="S117" s="3">
        <f>IF(R117=TRUE,1,IF(R117=FALSE,1,0))</f>
        <v>0</v>
      </c>
      <c r="T117" s="3" t="str">
        <f>IF(R117="","",IF(R117=TRUE,"Ja",IF(R117=FALSE,"Nei","Ikke relevant")))</f>
        <v/>
      </c>
      <c r="V117" s="3" t="s">
        <v>12</v>
      </c>
      <c r="Y117" s="3" t="s">
        <v>48</v>
      </c>
      <c r="AB117" s="3" t="b">
        <f>OR(AB115,AB116)</f>
        <v>0</v>
      </c>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row>
    <row r="118" spans="1:124">
      <c r="A118" s="14"/>
      <c r="B118" s="14"/>
      <c r="C118" s="126"/>
      <c r="D118" s="130"/>
      <c r="E118" s="130"/>
      <c r="F118" s="130"/>
      <c r="G118" s="131"/>
      <c r="H118" s="32"/>
      <c r="I118" s="123"/>
      <c r="J118" s="14"/>
      <c r="K118" s="14"/>
      <c r="L118" s="117"/>
      <c r="M118" s="118"/>
      <c r="N118" s="118"/>
      <c r="O118" s="119"/>
      <c r="P118" s="14"/>
      <c r="U118" s="3">
        <f>S129</f>
        <v>0</v>
      </c>
      <c r="V118" s="3" t="str">
        <f>IF($T$57=TRUE,"Begge stoffer på listen oppfyller dokumentasjonskravene.","Alle stoffer på listen oppfyller dokumentasjonskravene.")</f>
        <v>Alle stoffer på listen oppfyller dokumentasjonskravene.</v>
      </c>
      <c r="X118" s="3">
        <f>S129</f>
        <v>0</v>
      </c>
      <c r="Y118" s="3" t="str">
        <f>IF(AB113=TRUE,"Dokumentasjonskravet til BREEAM-NOR er oppfylt.","Alle stoffer på listen oppfyller dokumentasjonskravene til BREEAM-NOR.")</f>
        <v>Alle stoffer på listen oppfyller dokumentasjonskravene til BREEAM-NOR.</v>
      </c>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row>
    <row r="119" spans="1:124">
      <c r="A119" s="14"/>
      <c r="B119" s="14"/>
      <c r="C119" s="126"/>
      <c r="D119" s="130"/>
      <c r="E119" s="130"/>
      <c r="F119" s="130"/>
      <c r="G119" s="131"/>
      <c r="H119" s="32"/>
      <c r="I119" s="123"/>
      <c r="J119" s="14"/>
      <c r="K119" s="14"/>
      <c r="L119" s="117"/>
      <c r="M119" s="118"/>
      <c r="N119" s="118"/>
      <c r="O119" s="119"/>
      <c r="P119" s="14"/>
      <c r="U119" s="3">
        <f>U118-1</f>
        <v>-1</v>
      </c>
      <c r="V119" s="3" t="s">
        <v>70</v>
      </c>
      <c r="X119" s="3">
        <f>X118-1</f>
        <v>-1</v>
      </c>
      <c r="Y119" s="3" t="str">
        <f>IF($AB$117=TRUE,"Stoffet på listen oppfyller ikke dokumentasjonskravet. Produktet tilfredsstiller derfor ikke A20-kravene til BREEAM-NOR.","Det finnes ett stoff på listen som ikke oppfyller dokumentasjonskravet. Produktet/produktene tilfredsstiller derfor ikke A20-kravene til BREEAM-NOR.")</f>
        <v>Det finnes ett stoff på listen som ikke oppfyller dokumentasjonskravet. Produktet/produktene tilfredsstiller derfor ikke A20-kravene til BREEAM-NOR.</v>
      </c>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row>
    <row r="120" spans="1:124">
      <c r="A120" s="14"/>
      <c r="B120" s="14"/>
      <c r="C120" s="127"/>
      <c r="D120" s="132"/>
      <c r="E120" s="132"/>
      <c r="F120" s="132"/>
      <c r="G120" s="133"/>
      <c r="H120" s="32"/>
      <c r="I120" s="123"/>
      <c r="J120" s="14"/>
      <c r="K120" s="14"/>
      <c r="L120" s="120"/>
      <c r="M120" s="121"/>
      <c r="N120" s="121"/>
      <c r="O120" s="122"/>
      <c r="P120" s="14"/>
      <c r="U120" s="3">
        <f>U119-1</f>
        <v>-2</v>
      </c>
      <c r="V120" s="3" t="str">
        <f>IF(T57=TRUE,"Ingen stoffer oppfyller dokumentasjonskravet. Produktet/produktene tilfredsstiller derfor ikke HEA 9-kravene til BREEAM-NOR.","Det finnes to stoffer på listen som ikke oppfyller dokumentasjonskravet. Produktet/produktene tilfredsstiller derfor ikke HEA 9-kravene til BREEAM-NOR.")</f>
        <v>Det finnes to stoffer på listen som ikke oppfyller dokumentasjonskravet. Produktet/produktene tilfredsstiller derfor ikke HEA 9-kravene til BREEAM-NOR.</v>
      </c>
      <c r="X120" s="3">
        <f>X119-1</f>
        <v>-2</v>
      </c>
      <c r="Y120" s="3" t="s">
        <v>79</v>
      </c>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row>
    <row r="121" spans="1:124">
      <c r="A121" s="14"/>
      <c r="B121" s="14"/>
      <c r="C121" s="14"/>
      <c r="D121" s="14"/>
      <c r="E121" s="14"/>
      <c r="F121" s="14"/>
      <c r="G121" s="14"/>
      <c r="H121" s="14"/>
      <c r="I121" s="14"/>
      <c r="J121" s="14"/>
      <c r="K121" s="14"/>
      <c r="L121" s="14"/>
      <c r="M121" s="14"/>
      <c r="N121" s="14"/>
      <c r="O121" s="14"/>
      <c r="P121" s="109" t="str">
        <f>IF(Q62=TRUE,"Til utskrift",IF(BC69=TRUE,"Til utskrift",""))</f>
        <v/>
      </c>
      <c r="U121" s="3">
        <f t="shared" ref="U121:U128" si="3">U120-1</f>
        <v>-3</v>
      </c>
      <c r="V121" s="3" t="s">
        <v>71</v>
      </c>
      <c r="X121" s="3">
        <f t="shared" ref="X121:X128" si="4">X120-1</f>
        <v>-3</v>
      </c>
      <c r="Y121" s="3" t="s">
        <v>80</v>
      </c>
      <c r="BH121" s="40"/>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row>
    <row r="122" spans="1:124" ht="15" customHeight="1">
      <c r="A122" s="14"/>
      <c r="B122" s="14"/>
      <c r="C122" s="125" t="str">
        <f>IF($O$58=1,"",$AT$70)</f>
        <v/>
      </c>
      <c r="D122" s="128" t="str">
        <f>IF($O$58=1,"",$AU$70)</f>
        <v/>
      </c>
      <c r="E122" s="128"/>
      <c r="F122" s="128"/>
      <c r="G122" s="129"/>
      <c r="H122" s="32"/>
      <c r="I122" s="123" t="str">
        <f>IF($O$58=1,"",$AV$70)</f>
        <v/>
      </c>
      <c r="J122" s="14"/>
      <c r="K122" s="14"/>
      <c r="L122" s="114"/>
      <c r="M122" s="115"/>
      <c r="N122" s="115"/>
      <c r="O122" s="116"/>
      <c r="P122" s="14"/>
      <c r="U122" s="3">
        <f t="shared" si="3"/>
        <v>-4</v>
      </c>
      <c r="V122" s="3" t="s">
        <v>72</v>
      </c>
      <c r="X122" s="3">
        <f t="shared" si="4"/>
        <v>-4</v>
      </c>
      <c r="Y122" s="3" t="s">
        <v>81</v>
      </c>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row>
    <row r="123" spans="1:124">
      <c r="A123" s="14"/>
      <c r="B123" s="14"/>
      <c r="C123" s="126"/>
      <c r="D123" s="130"/>
      <c r="E123" s="130"/>
      <c r="F123" s="130"/>
      <c r="G123" s="131"/>
      <c r="H123" s="32"/>
      <c r="I123" s="123"/>
      <c r="J123" s="14"/>
      <c r="K123" s="14"/>
      <c r="L123" s="117"/>
      <c r="M123" s="118"/>
      <c r="N123" s="118"/>
      <c r="O123" s="119"/>
      <c r="P123" s="14"/>
      <c r="Q123" s="3">
        <v>1</v>
      </c>
      <c r="R123" s="3" t="str">
        <f>IF(C122="","",IF(Q123=1,TRUE,IF(Q123=2,FALSE,"IR")))</f>
        <v/>
      </c>
      <c r="S123" s="3">
        <f>IF(R123=TRUE,1,IF(R123=FALSE,1,0))</f>
        <v>0</v>
      </c>
      <c r="T123" s="3" t="str">
        <f>IF(R123="","",IF(R123=TRUE,"Ja",IF(R123=FALSE,"Nei","Ikke relevant")))</f>
        <v/>
      </c>
      <c r="U123" s="3">
        <f t="shared" si="3"/>
        <v>-5</v>
      </c>
      <c r="V123" s="3" t="s">
        <v>73</v>
      </c>
      <c r="X123" s="3">
        <f t="shared" si="4"/>
        <v>-5</v>
      </c>
      <c r="Y123" s="3" t="s">
        <v>82</v>
      </c>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row>
    <row r="124" spans="1:124">
      <c r="A124" s="14"/>
      <c r="B124" s="14"/>
      <c r="C124" s="126"/>
      <c r="D124" s="130"/>
      <c r="E124" s="130"/>
      <c r="F124" s="130"/>
      <c r="G124" s="131"/>
      <c r="H124" s="32"/>
      <c r="I124" s="123"/>
      <c r="J124" s="14"/>
      <c r="K124" s="14"/>
      <c r="L124" s="117"/>
      <c r="M124" s="118"/>
      <c r="N124" s="118"/>
      <c r="O124" s="119"/>
      <c r="P124" s="14"/>
      <c r="U124" s="3">
        <f t="shared" si="3"/>
        <v>-6</v>
      </c>
      <c r="V124" s="3" t="s">
        <v>74</v>
      </c>
      <c r="X124" s="3">
        <f t="shared" si="4"/>
        <v>-6</v>
      </c>
      <c r="Y124" s="3" t="s">
        <v>83</v>
      </c>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row>
    <row r="125" spans="1:124">
      <c r="A125" s="14"/>
      <c r="B125" s="14"/>
      <c r="C125" s="127"/>
      <c r="D125" s="132"/>
      <c r="E125" s="132"/>
      <c r="F125" s="132"/>
      <c r="G125" s="133"/>
      <c r="H125" s="32"/>
      <c r="I125" s="123"/>
      <c r="J125" s="14"/>
      <c r="K125" s="14"/>
      <c r="L125" s="120"/>
      <c r="M125" s="121"/>
      <c r="N125" s="121"/>
      <c r="O125" s="122"/>
      <c r="P125" s="14"/>
      <c r="U125" s="3">
        <f t="shared" si="3"/>
        <v>-7</v>
      </c>
      <c r="V125" s="3" t="s">
        <v>75</v>
      </c>
      <c r="X125" s="3">
        <f t="shared" si="4"/>
        <v>-7</v>
      </c>
      <c r="Y125" s="3" t="s">
        <v>84</v>
      </c>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row>
    <row r="126" spans="1:124">
      <c r="A126" s="14"/>
      <c r="B126" s="14"/>
      <c r="C126" s="14"/>
      <c r="D126" s="14"/>
      <c r="E126" s="14"/>
      <c r="F126" s="14"/>
      <c r="G126" s="14"/>
      <c r="H126" s="14"/>
      <c r="I126" s="14"/>
      <c r="J126" s="14"/>
      <c r="K126" s="14"/>
      <c r="L126" s="14"/>
      <c r="M126" s="14"/>
      <c r="N126" s="14"/>
      <c r="O126" s="14"/>
      <c r="P126" s="40" t="str">
        <f>IF(Q64=TRUE,"Til utskrift",IF(Q68=TRUE,"Til utskrift",""))</f>
        <v/>
      </c>
      <c r="U126" s="3">
        <f t="shared" si="3"/>
        <v>-8</v>
      </c>
      <c r="V126" s="3" t="s">
        <v>76</v>
      </c>
      <c r="X126" s="3">
        <f t="shared" si="4"/>
        <v>-8</v>
      </c>
      <c r="Y126" s="3" t="s">
        <v>85</v>
      </c>
      <c r="BH126" s="40"/>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row>
    <row r="127" spans="1:124" ht="15" customHeight="1">
      <c r="A127" s="14"/>
      <c r="B127" s="14"/>
      <c r="C127" s="125" t="str">
        <f>IF($O$58=1,"",$AW$70)</f>
        <v/>
      </c>
      <c r="D127" s="128" t="str">
        <f>IF($O$58=1,"",$AX$70)</f>
        <v/>
      </c>
      <c r="E127" s="128"/>
      <c r="F127" s="128"/>
      <c r="G127" s="129"/>
      <c r="H127" s="32"/>
      <c r="I127" s="123" t="str">
        <f>IF($O$58=1,"",$AY$70)</f>
        <v/>
      </c>
      <c r="J127" s="14"/>
      <c r="K127" s="14"/>
      <c r="L127" s="114"/>
      <c r="M127" s="115"/>
      <c r="N127" s="115"/>
      <c r="O127" s="116"/>
      <c r="P127" s="14"/>
      <c r="U127" s="3">
        <f t="shared" si="3"/>
        <v>-9</v>
      </c>
      <c r="V127" s="3" t="s">
        <v>77</v>
      </c>
      <c r="X127" s="3">
        <f t="shared" si="4"/>
        <v>-9</v>
      </c>
      <c r="Y127" s="3" t="s">
        <v>86</v>
      </c>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row>
    <row r="128" spans="1:124">
      <c r="A128" s="14"/>
      <c r="B128" s="14"/>
      <c r="C128" s="126"/>
      <c r="D128" s="130"/>
      <c r="E128" s="130"/>
      <c r="F128" s="130"/>
      <c r="G128" s="131"/>
      <c r="H128" s="32"/>
      <c r="I128" s="123"/>
      <c r="J128" s="14"/>
      <c r="K128" s="14"/>
      <c r="L128" s="117"/>
      <c r="M128" s="118"/>
      <c r="N128" s="118"/>
      <c r="O128" s="119"/>
      <c r="P128" s="14"/>
      <c r="Q128" s="3">
        <v>1</v>
      </c>
      <c r="R128" s="3" t="str">
        <f>IF(C127="","",IF(Q128=1,TRUE,IF(Q128=2,FALSE,"IR")))</f>
        <v/>
      </c>
      <c r="S128" s="3">
        <f>IF(R128=TRUE,1,IF(R128=FALSE,1,0))</f>
        <v>0</v>
      </c>
      <c r="T128" s="3" t="str">
        <f>IF(R128="","",IF(R128=TRUE,"Ja",IF(R128=FALSE,"Nei","Ikke relevant")))</f>
        <v/>
      </c>
      <c r="U128" s="3">
        <f t="shared" si="3"/>
        <v>-10</v>
      </c>
      <c r="V128" s="3" t="s">
        <v>78</v>
      </c>
      <c r="X128" s="3">
        <f t="shared" si="4"/>
        <v>-10</v>
      </c>
      <c r="Y128" s="3" t="s">
        <v>87</v>
      </c>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row>
    <row r="129" spans="1:124">
      <c r="A129" s="14"/>
      <c r="B129" s="14"/>
      <c r="C129" s="127"/>
      <c r="D129" s="132"/>
      <c r="E129" s="132"/>
      <c r="F129" s="132"/>
      <c r="G129" s="133"/>
      <c r="H129" s="32"/>
      <c r="I129" s="123"/>
      <c r="J129" s="14"/>
      <c r="K129" s="14"/>
      <c r="L129" s="120"/>
      <c r="M129" s="121"/>
      <c r="N129" s="121"/>
      <c r="O129" s="122"/>
      <c r="P129" s="14"/>
      <c r="Q129" s="3">
        <f>COUNTIF(R82:R128,TRUE)</f>
        <v>0</v>
      </c>
      <c r="R129" s="3" t="str">
        <f>VLOOKUP(Q129,U118:V128,2,FALSE)</f>
        <v>Alle stoffer på listen oppfyller dokumentasjonskravene.</v>
      </c>
      <c r="S129" s="3">
        <f>SUM(S82:S128)</f>
        <v>0</v>
      </c>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row>
    <row r="130" spans="1:124">
      <c r="A130" s="14"/>
      <c r="B130" s="14"/>
      <c r="C130" s="34"/>
      <c r="D130" s="32"/>
      <c r="E130" s="32"/>
      <c r="F130" s="32"/>
      <c r="G130" s="32"/>
      <c r="H130" s="32"/>
      <c r="I130" s="32"/>
      <c r="J130" s="14"/>
      <c r="K130" s="14"/>
      <c r="L130" s="35"/>
      <c r="M130" s="35"/>
      <c r="N130" s="35"/>
      <c r="O130" s="35"/>
      <c r="P130" s="40" t="str">
        <f>IF(Q61=TRUE,"Til utskrift",IF(Q63=TRUE,"Til utskrift",IF(Q66=TRUE,"Til utskrift",IF(Q67=TRUE,"Til utskrift",""))))</f>
        <v/>
      </c>
      <c r="Q130" s="3">
        <f>COUNTIF(R82:R128,FALSE)</f>
        <v>0</v>
      </c>
      <c r="R130" s="3" t="str">
        <f>VLOOKUP(Q130,X118:Y128,2,FALSE)</f>
        <v>Alle stoffer på listen oppfyller dokumentasjonskravene til BREEAM-NOR.</v>
      </c>
      <c r="BH130" s="40"/>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row>
    <row r="131" spans="1:124" ht="26.25" customHeight="1">
      <c r="A131" s="14"/>
      <c r="B131" s="14"/>
      <c r="C131" s="148" t="str">
        <f>IF(O46&lt;=2,"",S146)</f>
        <v/>
      </c>
      <c r="D131" s="148"/>
      <c r="E131" s="36"/>
      <c r="F131" s="36"/>
      <c r="G131" s="92"/>
      <c r="H131" s="92"/>
      <c r="I131" s="92"/>
      <c r="J131" s="14"/>
      <c r="K131" s="14"/>
      <c r="L131" s="35"/>
      <c r="M131" s="35"/>
      <c r="N131" s="35"/>
      <c r="O131" s="35"/>
      <c r="P131" s="14"/>
      <c r="R131" s="3" t="b">
        <f>IF(O46=2,R130,IF(O46=3,R129))</f>
        <v>0</v>
      </c>
      <c r="BH131" s="40"/>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row>
    <row r="132" spans="1:124" ht="26.25" customHeight="1">
      <c r="A132" s="14"/>
      <c r="B132" s="14"/>
      <c r="C132" s="148" t="str">
        <f>IF(O46&lt;=2,"",S147)</f>
        <v/>
      </c>
      <c r="D132" s="148"/>
      <c r="E132" s="148"/>
      <c r="F132" s="148"/>
      <c r="G132" s="92"/>
      <c r="H132" s="92"/>
      <c r="I132" s="92"/>
      <c r="J132" s="14"/>
      <c r="K132" s="14"/>
      <c r="L132" s="35"/>
      <c r="M132" s="35"/>
      <c r="N132" s="35"/>
      <c r="O132" s="35"/>
      <c r="P132" s="14"/>
      <c r="Q132" s="3">
        <f>COUNTIF(R82:R128,"IR")</f>
        <v>0</v>
      </c>
      <c r="BH132" s="40"/>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row>
    <row r="133" spans="1:124" ht="26.25" customHeight="1">
      <c r="A133" s="14"/>
      <c r="B133" s="14"/>
      <c r="C133" s="148" t="str">
        <f>IF(O46&lt;=2,"",S148)</f>
        <v/>
      </c>
      <c r="D133" s="148"/>
      <c r="E133" s="148"/>
      <c r="F133" s="148"/>
      <c r="G133" s="92"/>
      <c r="H133" s="92"/>
      <c r="I133" s="92"/>
      <c r="J133" s="14"/>
      <c r="K133" s="14"/>
      <c r="L133" s="35"/>
      <c r="M133" s="35"/>
      <c r="N133" s="35"/>
      <c r="O133" s="35"/>
      <c r="P133" s="14"/>
      <c r="BH133" s="40"/>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row>
    <row r="134" spans="1:124" ht="7.5" customHeight="1">
      <c r="A134" s="14"/>
      <c r="B134" s="14"/>
      <c r="C134" s="101"/>
      <c r="D134" s="102"/>
      <c r="E134" s="102"/>
      <c r="F134" s="102"/>
      <c r="G134" s="102"/>
      <c r="H134" s="26"/>
      <c r="I134" s="26"/>
      <c r="J134" s="16"/>
      <c r="K134" s="16"/>
      <c r="L134" s="103"/>
      <c r="M134" s="103"/>
      <c r="N134" s="35"/>
      <c r="O134" s="35"/>
      <c r="P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row>
    <row r="135" spans="1:124">
      <c r="A135" s="14"/>
      <c r="B135" s="14"/>
      <c r="C135" s="101" t="str">
        <f>IF($Q$65=TRUE,"Deklarering av produktinformasjon","")</f>
        <v/>
      </c>
      <c r="D135" s="102"/>
      <c r="E135" s="102"/>
      <c r="F135" s="102"/>
      <c r="G135" s="102"/>
      <c r="H135" s="26"/>
      <c r="I135" s="26"/>
      <c r="J135" s="16"/>
      <c r="K135" s="16"/>
      <c r="L135" s="103"/>
      <c r="M135" s="103"/>
      <c r="N135" s="35"/>
      <c r="O135" s="35"/>
      <c r="P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row>
    <row r="136" spans="1:124" ht="27.75" customHeight="1">
      <c r="A136" s="14"/>
      <c r="B136" s="14"/>
      <c r="C136" s="147" t="str">
        <f>IF($Q$65=TRUE,$S$140,IF($S$62=TRUE,"¹⁾ For PFOS er maksinnhold regulert gjennom spesifikasjon REACH vedlegg XVII artikkel 53, se:",IF($R$62=TRUE,"¹⁾ For PFOS er maksinnhold regulert gjennom spesifikasjon REACH vedlegg XVII artikkel 53, se:",IF($S$64=TRUE,"¹⁾ For PFOS er maksinnhold regulert gjennom spesifikasjon REACH vedlegg XVII artikkel 53, se:",IF($R$69=TRUE,"¹⁾ Kortkjedede parafiner er forbudt",IF($R$68=TRUE,"¹⁾ Kortkjedede parafiner er forbudt",IF($R$67=TRUE,"¹⁾ Kortkjedede parafiner er forbudt",IF($S$69=TRUE,"¹⁾ For kadmium i maling er maksinnhold regulert gjennom spesifikasjon REACH vedlegg XVII artikkel 53, se:",$AZ$70))))))))</f>
        <v/>
      </c>
      <c r="D136" s="147"/>
      <c r="E136" s="147"/>
      <c r="F136" s="147"/>
      <c r="G136" s="147"/>
      <c r="H136" s="14"/>
      <c r="I136" s="147" t="str">
        <f>IF(O46=1,"",IF($Q$65=TRUE,S142,""))</f>
        <v/>
      </c>
      <c r="J136" s="147"/>
      <c r="K136" s="147"/>
      <c r="L136" s="147"/>
      <c r="M136" s="37"/>
      <c r="N136" s="35"/>
      <c r="O136" s="35"/>
      <c r="P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row>
    <row r="137" spans="1:124" ht="27.75" customHeight="1">
      <c r="A137" s="14"/>
      <c r="B137" s="14"/>
      <c r="C137" s="148" t="str">
        <f>IF($Q$65=TRUE,S141,IF($S$62=TRUE,"http://www.klif.no/no/Tema/Kjemikalier/Kjemikalieregelverket-REACH/REACH-regelverk/",IF($R$62=TRUE,"http://www.klif.no/no/Tema/Kjemikalier/Kjemikalieregelverket-REACH/REACH-regelverk/",IF($S$64=TRUE,"http://www.klif.no/no/Tema/Kjemikalier/Kjemikalieregelverket-REACH/REACH-regelverk/",IF($S$69=TRUE,"http://www.klif.no/no/Tema/Kjemikalier/Kjemikalieregelverket-REACH/REACH-regelverk/",IF($R$69=TRUE,"²⁾ For kadmium i maling er maksinnhold regulert gjennom spesifikasjon REACH vedlegg XVII artikkel 53, se:",$BA$70))))))</f>
        <v/>
      </c>
      <c r="D137" s="148"/>
      <c r="E137" s="148"/>
      <c r="F137" s="148"/>
      <c r="G137" s="148"/>
      <c r="H137" s="14"/>
      <c r="I137" s="148" t="str">
        <f>IF(O46=1,"",IF($Q$65=TRUE,S143,""))</f>
        <v/>
      </c>
      <c r="J137" s="148"/>
      <c r="K137" s="148"/>
      <c r="L137" s="148"/>
      <c r="M137" s="104"/>
      <c r="N137" s="35"/>
      <c r="O137" s="35"/>
      <c r="P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row>
    <row r="138" spans="1:124" ht="24.75" customHeight="1">
      <c r="A138" s="14"/>
      <c r="B138" s="14"/>
      <c r="C138" s="148"/>
      <c r="D138" s="148"/>
      <c r="E138" s="148"/>
      <c r="F138" s="148"/>
      <c r="G138" s="148"/>
      <c r="H138" s="14"/>
      <c r="I138" s="148" t="str">
        <f>IF(O46=1,"",IF($Q$65=TRUE,S144,""))</f>
        <v/>
      </c>
      <c r="J138" s="148"/>
      <c r="K138" s="148"/>
      <c r="L138" s="148"/>
      <c r="M138" s="104"/>
      <c r="N138" s="35"/>
      <c r="O138" s="35"/>
      <c r="P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row>
    <row r="139" spans="1:124" ht="21" customHeight="1">
      <c r="A139" s="14"/>
      <c r="B139" s="14"/>
      <c r="C139" s="149" t="str">
        <f>IF($R$69=TRUE,"http://www.klif.no/no/Tema/Kjemikalier/Kjemikalieregelverket-REACH/REACH-regelverk/",BB70)</f>
        <v/>
      </c>
      <c r="D139" s="149"/>
      <c r="E139" s="149"/>
      <c r="F139" s="149"/>
      <c r="G139" s="149"/>
      <c r="H139" s="14"/>
      <c r="I139" s="36"/>
      <c r="J139" s="38"/>
      <c r="K139" s="38"/>
      <c r="L139" s="39"/>
      <c r="M139" s="39"/>
      <c r="N139" s="35"/>
      <c r="O139" s="35"/>
      <c r="P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row>
    <row r="140" spans="1:124" ht="21" customHeight="1">
      <c r="A140" s="14"/>
      <c r="B140" s="14"/>
      <c r="C140" s="149"/>
      <c r="D140" s="149"/>
      <c r="E140" s="149"/>
      <c r="F140" s="149"/>
      <c r="G140" s="149"/>
      <c r="H140" s="14"/>
      <c r="I140" s="38"/>
      <c r="J140" s="38"/>
      <c r="K140" s="38"/>
      <c r="L140" s="38"/>
      <c r="M140" s="38"/>
      <c r="N140" s="14"/>
      <c r="O140" s="14"/>
      <c r="P140" s="14"/>
      <c r="S140" s="100" t="s">
        <v>65</v>
      </c>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row>
    <row r="141" spans="1:124">
      <c r="A141" s="14"/>
      <c r="B141" s="14"/>
      <c r="C141" s="14"/>
      <c r="D141" s="14"/>
      <c r="E141" s="14"/>
      <c r="F141" s="14"/>
      <c r="G141" s="14"/>
      <c r="H141" s="14"/>
      <c r="I141" s="14"/>
      <c r="J141" s="14"/>
      <c r="K141" s="14"/>
      <c r="L141" s="14"/>
      <c r="M141" s="14"/>
      <c r="N141" s="14"/>
      <c r="O141" s="14"/>
      <c r="P141" s="14"/>
      <c r="S141" s="93" t="s">
        <v>64</v>
      </c>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row>
    <row r="142" spans="1:124" ht="24.9" customHeight="1">
      <c r="A142" s="14"/>
      <c r="B142" s="14"/>
      <c r="C142" s="171" t="str">
        <f>IF(T57=TRUE,AB185,"")</f>
        <v/>
      </c>
      <c r="D142" s="171"/>
      <c r="E142" s="171"/>
      <c r="F142" s="171"/>
      <c r="G142" s="171"/>
      <c r="H142" s="171"/>
      <c r="I142" s="171"/>
      <c r="J142" s="171"/>
      <c r="K142" s="171"/>
      <c r="L142" s="171"/>
      <c r="M142" s="14"/>
      <c r="N142" s="40"/>
      <c r="O142" s="14"/>
      <c r="P142" s="14"/>
      <c r="S142" s="100" t="s">
        <v>63</v>
      </c>
      <c r="BH142" s="40"/>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row>
    <row r="143" spans="1:124" ht="24.9" customHeight="1">
      <c r="A143" s="14"/>
      <c r="B143" s="14"/>
      <c r="C143" s="171"/>
      <c r="D143" s="171"/>
      <c r="E143" s="171"/>
      <c r="F143" s="171"/>
      <c r="G143" s="171"/>
      <c r="H143" s="171"/>
      <c r="I143" s="171"/>
      <c r="J143" s="171"/>
      <c r="K143" s="171"/>
      <c r="L143" s="171"/>
      <c r="M143" s="14"/>
      <c r="N143" s="14"/>
      <c r="O143" s="14"/>
      <c r="P143" s="14"/>
      <c r="S143" s="100" t="s">
        <v>62</v>
      </c>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row>
    <row r="144" spans="1:124" ht="15" customHeight="1">
      <c r="A144" s="14"/>
      <c r="B144" s="14"/>
      <c r="C144" s="33"/>
      <c r="D144" s="33"/>
      <c r="E144" s="33"/>
      <c r="F144" s="33"/>
      <c r="G144" s="33"/>
      <c r="H144" s="33"/>
      <c r="I144" s="33"/>
      <c r="J144" s="33"/>
      <c r="K144" s="33"/>
      <c r="L144" s="33"/>
      <c r="M144" s="14"/>
      <c r="N144" s="14"/>
      <c r="O144" s="14"/>
      <c r="P144" s="14"/>
      <c r="S144" s="100" t="s">
        <v>61</v>
      </c>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row>
    <row r="145" spans="1:124">
      <c r="A145" s="14"/>
      <c r="B145" s="14"/>
      <c r="C145" s="33"/>
      <c r="D145" s="33"/>
      <c r="E145" s="33"/>
      <c r="F145" s="33"/>
      <c r="G145" s="33"/>
      <c r="H145" s="33"/>
      <c r="I145" s="33"/>
      <c r="J145" s="33"/>
      <c r="K145" s="33"/>
      <c r="L145" s="33"/>
      <c r="M145" s="14"/>
      <c r="N145" s="14"/>
      <c r="O145" s="14"/>
      <c r="P145" s="14"/>
      <c r="S145" s="8"/>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row>
    <row r="146" spans="1:124" ht="15" customHeight="1">
      <c r="A146" s="14"/>
      <c r="B146" s="14"/>
      <c r="C146" s="172" t="str">
        <f>IF($T$57=TRUE,"Handelsnavn","")</f>
        <v/>
      </c>
      <c r="D146" s="172"/>
      <c r="E146" s="172" t="str">
        <f>IF($T$57=TRUE,"Type 
(se over)","")</f>
        <v/>
      </c>
      <c r="F146" s="174" t="str">
        <f>IF($T$57=TRUE,"VOC-innhold (gram/liter, alt. bekreftelse)","")</f>
        <v/>
      </c>
      <c r="G146" s="174"/>
      <c r="H146" s="174" t="str">
        <f>IF($T$57=TRUE,"Vannbasert (VB) eller løsemiddelbasert (LB)","")</f>
        <v/>
      </c>
      <c r="I146" s="174"/>
      <c r="J146" s="172" t="str">
        <f>IF($T$57=TRUE,"VOC-emisjoner etter 3 døgn (mg/m²h el. mg/m³)","")</f>
        <v/>
      </c>
      <c r="K146" s="172"/>
      <c r="L146" s="172" t="str">
        <f>IF($T$57=TRUE,"Svanemerke 
eller EU-blomst","")</f>
        <v/>
      </c>
      <c r="M146" s="41"/>
      <c r="N146" s="174" t="str">
        <f>IF($T$57=TRUE,"Svanemerke/
EU-blomst","")</f>
        <v/>
      </c>
      <c r="O146" s="14"/>
      <c r="P146" s="14"/>
      <c r="S146" s="8" t="s">
        <v>25</v>
      </c>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row>
    <row r="147" spans="1:124">
      <c r="A147" s="14"/>
      <c r="B147" s="14"/>
      <c r="C147" s="172"/>
      <c r="D147" s="172"/>
      <c r="E147" s="172"/>
      <c r="F147" s="106" t="str">
        <f>IF($T$57=TRUE,"gram pr. liter","")</f>
        <v/>
      </c>
      <c r="G147" s="106" t="str">
        <f>IF($T$57=TRUE,"Bekreftelse fra produsent","")</f>
        <v/>
      </c>
      <c r="H147" s="174"/>
      <c r="I147" s="174"/>
      <c r="J147" s="172"/>
      <c r="K147" s="172"/>
      <c r="L147" s="172"/>
      <c r="M147" s="41"/>
      <c r="N147" s="174"/>
      <c r="O147" s="14"/>
      <c r="P147" s="14"/>
      <c r="S147" s="8" t="s">
        <v>26</v>
      </c>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row>
    <row r="148" spans="1:124" ht="15" customHeight="1">
      <c r="A148" s="14"/>
      <c r="B148" s="14"/>
      <c r="C148" s="146"/>
      <c r="D148" s="146"/>
      <c r="E148" s="56"/>
      <c r="F148" s="56"/>
      <c r="G148" s="98"/>
      <c r="H148" s="146"/>
      <c r="I148" s="146"/>
      <c r="J148" s="99"/>
      <c r="K148" s="105"/>
      <c r="L148" s="99"/>
      <c r="M148" s="41"/>
      <c r="N148" s="99"/>
      <c r="O148" s="14"/>
      <c r="P148" s="14"/>
      <c r="R148" s="3" t="b">
        <f>IF(E148="a",TRUE,IF(E148="b",TRUE,FALSE))</f>
        <v>0</v>
      </c>
      <c r="S148" s="8" t="s">
        <v>27</v>
      </c>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row>
    <row r="149" spans="1:124" ht="15" customHeight="1">
      <c r="A149" s="14"/>
      <c r="B149" s="14"/>
      <c r="C149" s="146"/>
      <c r="D149" s="146"/>
      <c r="E149" s="56"/>
      <c r="F149" s="56"/>
      <c r="G149" s="98"/>
      <c r="H149" s="146"/>
      <c r="I149" s="146"/>
      <c r="J149" s="99"/>
      <c r="K149" s="105"/>
      <c r="L149" s="99"/>
      <c r="M149" s="41"/>
      <c r="N149" s="14"/>
      <c r="O149" s="14"/>
      <c r="P149" s="14"/>
      <c r="R149" s="3" t="b">
        <f t="shared" ref="R149:R157" si="5">IF(E149="a",TRUE,IF(E149="b",TRUE,FALSE))</f>
        <v>0</v>
      </c>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row>
    <row r="150" spans="1:124" ht="15" customHeight="1">
      <c r="A150" s="14"/>
      <c r="B150" s="14"/>
      <c r="C150" s="146"/>
      <c r="D150" s="146"/>
      <c r="E150" s="56"/>
      <c r="F150" s="56"/>
      <c r="G150" s="98"/>
      <c r="H150" s="146"/>
      <c r="I150" s="146"/>
      <c r="J150" s="99"/>
      <c r="K150" s="105"/>
      <c r="L150" s="99"/>
      <c r="M150" s="41"/>
      <c r="N150" s="14"/>
      <c r="O150" s="14"/>
      <c r="P150" s="14"/>
      <c r="R150" s="3" t="b">
        <f t="shared" si="5"/>
        <v>0</v>
      </c>
      <c r="V150" s="87"/>
      <c r="W150" s="5"/>
      <c r="Y150" s="5"/>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row>
    <row r="151" spans="1:124">
      <c r="A151" s="14"/>
      <c r="B151" s="14"/>
      <c r="C151" s="146"/>
      <c r="D151" s="146"/>
      <c r="E151" s="56"/>
      <c r="F151" s="56"/>
      <c r="G151" s="98"/>
      <c r="H151" s="146"/>
      <c r="I151" s="146"/>
      <c r="J151" s="99"/>
      <c r="K151" s="105"/>
      <c r="L151" s="99"/>
      <c r="M151" s="41"/>
      <c r="N151" s="14"/>
      <c r="O151" s="14"/>
      <c r="P151" s="14"/>
      <c r="R151" s="3" t="b">
        <f t="shared" si="5"/>
        <v>0</v>
      </c>
      <c r="V151" s="87"/>
      <c r="W151" s="5"/>
      <c r="Y151" s="5"/>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row>
    <row r="152" spans="1:124">
      <c r="A152" s="14"/>
      <c r="B152" s="14"/>
      <c r="C152" s="146"/>
      <c r="D152" s="146"/>
      <c r="E152" s="56"/>
      <c r="F152" s="56"/>
      <c r="G152" s="98"/>
      <c r="H152" s="146"/>
      <c r="I152" s="146"/>
      <c r="J152" s="99"/>
      <c r="K152" s="105"/>
      <c r="L152" s="99"/>
      <c r="M152" s="41"/>
      <c r="N152" s="14"/>
      <c r="O152" s="14"/>
      <c r="P152" s="14"/>
      <c r="R152" s="3" t="b">
        <f t="shared" si="5"/>
        <v>0</v>
      </c>
      <c r="S152" s="8" t="s">
        <v>38</v>
      </c>
      <c r="T152" s="3" t="s">
        <v>45</v>
      </c>
      <c r="V152" s="87"/>
      <c r="W152" s="5"/>
      <c r="Y152" s="5"/>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row>
    <row r="153" spans="1:124">
      <c r="A153" s="14"/>
      <c r="B153" s="14"/>
      <c r="C153" s="146"/>
      <c r="D153" s="146"/>
      <c r="E153" s="56"/>
      <c r="F153" s="56"/>
      <c r="G153" s="98"/>
      <c r="H153" s="146"/>
      <c r="I153" s="146"/>
      <c r="J153" s="99"/>
      <c r="K153" s="105"/>
      <c r="L153" s="99"/>
      <c r="M153" s="41"/>
      <c r="N153" s="14"/>
      <c r="O153" s="14"/>
      <c r="P153" s="14"/>
      <c r="R153" s="3" t="b">
        <f t="shared" si="5"/>
        <v>0</v>
      </c>
      <c r="S153" s="8" t="s">
        <v>37</v>
      </c>
      <c r="T153" s="3" t="s">
        <v>46</v>
      </c>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row>
    <row r="154" spans="1:124">
      <c r="A154" s="14"/>
      <c r="B154" s="14"/>
      <c r="C154" s="146"/>
      <c r="D154" s="146"/>
      <c r="E154" s="56"/>
      <c r="F154" s="56"/>
      <c r="G154" s="98"/>
      <c r="H154" s="146"/>
      <c r="I154" s="146"/>
      <c r="J154" s="99"/>
      <c r="K154" s="105"/>
      <c r="L154" s="99"/>
      <c r="M154" s="41"/>
      <c r="N154" s="14"/>
      <c r="O154" s="14"/>
      <c r="P154" s="14"/>
      <c r="R154" s="3" t="b">
        <f t="shared" si="5"/>
        <v>0</v>
      </c>
      <c r="S154" s="3" t="s">
        <v>94</v>
      </c>
      <c r="W154" s="3" t="s">
        <v>69</v>
      </c>
      <c r="AB154" s="94" t="str">
        <f>IF(T57=TRUE,"a) Matt innendørs vegg- og takmaling (glansgrad ≤ 25 @ 60°)","")</f>
        <v/>
      </c>
      <c r="AH154" s="3" t="s">
        <v>6</v>
      </c>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row>
    <row r="155" spans="1:124">
      <c r="A155" s="14"/>
      <c r="B155" s="14"/>
      <c r="C155" s="146"/>
      <c r="D155" s="146"/>
      <c r="E155" s="56"/>
      <c r="F155" s="56"/>
      <c r="G155" s="98"/>
      <c r="H155" s="146"/>
      <c r="I155" s="146"/>
      <c r="J155" s="99"/>
      <c r="K155" s="105"/>
      <c r="L155" s="99"/>
      <c r="M155" s="41"/>
      <c r="N155" s="14"/>
      <c r="O155" s="14"/>
      <c r="P155" s="14"/>
      <c r="R155" s="3" t="b">
        <f t="shared" si="5"/>
        <v>0</v>
      </c>
      <c r="S155" s="3" t="s">
        <v>95</v>
      </c>
      <c r="T155" s="8" t="s">
        <v>66</v>
      </c>
      <c r="W155" s="3" t="s">
        <v>93</v>
      </c>
      <c r="AB155" s="94" t="str">
        <f>IF(T57=TRUE,"b) Blank innendørs vegg- og takmaling (glansgrad &gt; 25 @ 60°)","")</f>
        <v/>
      </c>
      <c r="AH155" s="3" t="s">
        <v>24</v>
      </c>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row>
    <row r="156" spans="1:124">
      <c r="A156" s="14"/>
      <c r="B156" s="14"/>
      <c r="C156" s="146"/>
      <c r="D156" s="146"/>
      <c r="E156" s="56"/>
      <c r="F156" s="56"/>
      <c r="G156" s="98"/>
      <c r="H156" s="146"/>
      <c r="I156" s="146"/>
      <c r="J156" s="99"/>
      <c r="K156" s="105"/>
      <c r="L156" s="99"/>
      <c r="M156" s="41"/>
      <c r="N156" s="14"/>
      <c r="O156" s="14"/>
      <c r="P156" s="14"/>
      <c r="R156" s="3" t="b">
        <f t="shared" si="5"/>
        <v>0</v>
      </c>
      <c r="S156" s="3" t="s">
        <v>39</v>
      </c>
      <c r="T156" s="3" t="b">
        <f>IF(G148="",TRUE,FALSE)</f>
        <v>1</v>
      </c>
      <c r="U156" s="3" t="b">
        <f>IF(F148="",TRUE,FALSE)</f>
        <v>1</v>
      </c>
      <c r="V156" s="3" t="b">
        <f>AND(T156,U156)</f>
        <v>1</v>
      </c>
      <c r="W156" s="12" t="str">
        <f>IF(V156=TRUE,"",IF(T156=FALSE,$W$155,F148&amp;" "&amp;$W$154))</f>
        <v/>
      </c>
      <c r="Y156" s="4" t="b">
        <f>IF(E148="",TRUE,IF(E148="a",TRUE,IF(E148="b",TRUE,FALSE)))</f>
        <v>1</v>
      </c>
      <c r="Z156" s="12" t="str">
        <f>IF(H148="Løsemiddelbasert","LB",IF(H148="Vannbasert","VB",""))</f>
        <v/>
      </c>
      <c r="AB156" s="94" t="str">
        <f>IF(T57=TRUE,"c) Utendørs maling for mineralske flater","")</f>
        <v/>
      </c>
      <c r="AH156" s="3" t="s">
        <v>7</v>
      </c>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row>
    <row r="157" spans="1:124" ht="15" customHeight="1">
      <c r="A157" s="14"/>
      <c r="B157" s="14"/>
      <c r="C157" s="146"/>
      <c r="D157" s="146"/>
      <c r="E157" s="56"/>
      <c r="F157" s="56"/>
      <c r="G157" s="98"/>
      <c r="H157" s="146"/>
      <c r="I157" s="146"/>
      <c r="J157" s="99"/>
      <c r="K157" s="105"/>
      <c r="L157" s="99"/>
      <c r="M157" s="41"/>
      <c r="N157" s="14"/>
      <c r="O157" s="14"/>
      <c r="P157" s="14"/>
      <c r="R157" s="3" t="b">
        <f t="shared" si="5"/>
        <v>0</v>
      </c>
      <c r="S157" s="3" t="s">
        <v>36</v>
      </c>
      <c r="T157" s="3" t="b">
        <f t="shared" ref="T157:T164" si="6">IF(G149="",TRUE,FALSE)</f>
        <v>1</v>
      </c>
      <c r="U157" s="3" t="b">
        <f t="shared" ref="U157:U165" si="7">IF(F149="",TRUE,FALSE)</f>
        <v>1</v>
      </c>
      <c r="V157" s="3" t="b">
        <f t="shared" ref="V157:V165" si="8">AND(T157,U157)</f>
        <v>1</v>
      </c>
      <c r="W157" s="12" t="str">
        <f t="shared" ref="W157:W165" si="9">IF(V157=TRUE,"",IF(T157=FALSE,$W$155,F149&amp;" "&amp;$W$154))</f>
        <v/>
      </c>
      <c r="Y157" s="4" t="b">
        <f t="shared" ref="Y157:Y165" si="10">IF(E149="",TRUE,IF(E149="a",TRUE,IF(E149="b",TRUE,FALSE)))</f>
        <v>1</v>
      </c>
      <c r="Z157" s="12" t="str">
        <f t="shared" ref="Z157:Z165" si="11">IF(H149="Løsemiddelbasert","LB",IF(H149="Vannbasert","VB",""))</f>
        <v/>
      </c>
      <c r="AB157" s="94" t="str">
        <f>IF(T57=TRUE,"d) Maling for treverk, metall og plast innendørs/utendørs","")</f>
        <v/>
      </c>
      <c r="AH157" s="3" t="s">
        <v>8</v>
      </c>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row>
    <row r="158" spans="1:124">
      <c r="A158" s="14"/>
      <c r="B158" s="14"/>
      <c r="C158" s="43"/>
      <c r="D158" s="43"/>
      <c r="E158" s="42"/>
      <c r="F158" s="42"/>
      <c r="G158" s="43"/>
      <c r="H158" s="43"/>
      <c r="I158" s="43"/>
      <c r="J158" s="43"/>
      <c r="K158" s="43"/>
      <c r="L158" s="42"/>
      <c r="M158" s="41"/>
      <c r="N158" s="14"/>
      <c r="O158" s="40" t="str">
        <f>IF(Q65=TRUE,"Til utskrift","")</f>
        <v/>
      </c>
      <c r="P158" s="14"/>
      <c r="S158" s="3" t="s">
        <v>40</v>
      </c>
      <c r="T158" s="3" t="b">
        <f t="shared" si="6"/>
        <v>1</v>
      </c>
      <c r="U158" s="3" t="b">
        <f t="shared" si="7"/>
        <v>1</v>
      </c>
      <c r="V158" s="3" t="b">
        <f t="shared" si="8"/>
        <v>1</v>
      </c>
      <c r="W158" s="12" t="str">
        <f t="shared" si="9"/>
        <v/>
      </c>
      <c r="Y158" s="4" t="b">
        <f t="shared" si="10"/>
        <v>1</v>
      </c>
      <c r="Z158" s="12" t="str">
        <f t="shared" si="11"/>
        <v/>
      </c>
      <c r="AB158" s="94" t="str">
        <f>IF(T57=TRUE,"e) Lakk, lasur og beis for innendørs/utendørs behandling av tre, metall og plast","")</f>
        <v/>
      </c>
      <c r="AH158" s="3" t="s">
        <v>9</v>
      </c>
      <c r="BH158" s="40"/>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row>
    <row r="159" spans="1:124">
      <c r="A159" s="14"/>
      <c r="B159" s="14"/>
      <c r="C159" s="173" t="str">
        <f>IF(Q46=TRUE,"",IF(T166=FALSE,T169,""))</f>
        <v/>
      </c>
      <c r="D159" s="173"/>
      <c r="E159" s="173"/>
      <c r="F159" s="173"/>
      <c r="G159" s="173"/>
      <c r="H159" s="173"/>
      <c r="I159" s="173"/>
      <c r="J159" s="173"/>
      <c r="K159" s="173"/>
      <c r="L159" s="173"/>
      <c r="M159" s="14"/>
      <c r="N159" s="14"/>
      <c r="O159" s="14"/>
      <c r="P159" s="14"/>
      <c r="S159" s="3" t="s">
        <v>41</v>
      </c>
      <c r="T159" s="3" t="b">
        <f t="shared" si="6"/>
        <v>1</v>
      </c>
      <c r="U159" s="3" t="b">
        <f t="shared" si="7"/>
        <v>1</v>
      </c>
      <c r="V159" s="3" t="b">
        <f t="shared" si="8"/>
        <v>1</v>
      </c>
      <c r="W159" s="12" t="str">
        <f t="shared" si="9"/>
        <v/>
      </c>
      <c r="Y159" s="4" t="b">
        <f t="shared" si="10"/>
        <v>1</v>
      </c>
      <c r="Z159" s="12" t="str">
        <f t="shared" si="11"/>
        <v/>
      </c>
      <c r="AB159" s="94" t="str">
        <f>IF(T57=TRUE,"f) Tynnsjiktet lasur, olje eller beis","")</f>
        <v/>
      </c>
      <c r="AH159" s="3" t="s">
        <v>10</v>
      </c>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row>
    <row r="160" spans="1:124">
      <c r="A160" s="14"/>
      <c r="B160" s="14"/>
      <c r="C160" s="173"/>
      <c r="D160" s="173"/>
      <c r="E160" s="173"/>
      <c r="F160" s="173"/>
      <c r="G160" s="173"/>
      <c r="H160" s="173"/>
      <c r="I160" s="173"/>
      <c r="J160" s="173"/>
      <c r="K160" s="173"/>
      <c r="L160" s="173"/>
      <c r="M160" s="14"/>
      <c r="N160" s="14"/>
      <c r="O160" s="14"/>
      <c r="P160" s="16"/>
      <c r="Q160" s="4"/>
      <c r="R160" s="4"/>
      <c r="S160" s="4" t="s">
        <v>31</v>
      </c>
      <c r="T160" s="3" t="b">
        <f t="shared" si="6"/>
        <v>1</v>
      </c>
      <c r="U160" s="3" t="b">
        <f t="shared" si="7"/>
        <v>1</v>
      </c>
      <c r="V160" s="3" t="b">
        <f t="shared" si="8"/>
        <v>1</v>
      </c>
      <c r="W160" s="12" t="str">
        <f t="shared" si="9"/>
        <v/>
      </c>
      <c r="Y160" s="4" t="b">
        <f t="shared" si="10"/>
        <v>1</v>
      </c>
      <c r="Z160" s="12" t="str">
        <f t="shared" si="11"/>
        <v/>
      </c>
      <c r="AA160" s="4"/>
      <c r="AB160" s="95" t="str">
        <f>IF(T57=TRUE,"g) Grunning","")</f>
        <v/>
      </c>
      <c r="AC160" s="4"/>
      <c r="AD160" s="4"/>
      <c r="AE160" s="4"/>
      <c r="AF160" s="4"/>
      <c r="AG160" s="4"/>
      <c r="AH160" s="4"/>
      <c r="AI160" s="4"/>
      <c r="AJ160" s="4"/>
      <c r="AK160" s="4"/>
      <c r="AL160" s="4"/>
      <c r="AM160" s="4"/>
      <c r="AN160" s="4" t="b">
        <f>IF(BH173="",TRUE,FALSE)</f>
        <v>1</v>
      </c>
      <c r="AO160" s="4"/>
      <c r="AP160" s="4"/>
      <c r="AQ160" s="4"/>
      <c r="AR160" s="4"/>
      <c r="AS160" s="4"/>
      <c r="AT160" s="4"/>
      <c r="AU160" s="4"/>
      <c r="AV160" s="4"/>
      <c r="AW160" s="4"/>
      <c r="AX160" s="4"/>
      <c r="AY160" s="4"/>
      <c r="AZ160" s="4"/>
      <c r="BA160" s="4"/>
      <c r="BB160" s="4"/>
      <c r="BC160" s="4"/>
      <c r="BD160" s="4"/>
      <c r="BE160" s="4"/>
      <c r="BF160" s="4"/>
      <c r="BG160" s="4"/>
      <c r="BH160" s="16"/>
      <c r="BI160" s="16"/>
      <c r="BJ160" s="16"/>
      <c r="BK160" s="16"/>
      <c r="BL160" s="16"/>
      <c r="BM160" s="16"/>
      <c r="BN160" s="16"/>
      <c r="BO160" s="16"/>
      <c r="BP160" s="16"/>
      <c r="BQ160" s="16"/>
      <c r="BR160" s="16"/>
      <c r="BS160" s="16"/>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row>
    <row r="161" spans="1:124">
      <c r="A161" s="14"/>
      <c r="B161" s="14"/>
      <c r="C161" s="173"/>
      <c r="D161" s="173"/>
      <c r="E161" s="173"/>
      <c r="F161" s="173"/>
      <c r="G161" s="173"/>
      <c r="H161" s="173"/>
      <c r="I161" s="173"/>
      <c r="J161" s="173"/>
      <c r="K161" s="173"/>
      <c r="L161" s="173"/>
      <c r="M161" s="14"/>
      <c r="N161" s="14"/>
      <c r="O161" s="14"/>
      <c r="P161" s="16"/>
      <c r="Q161" s="4"/>
      <c r="R161" s="4"/>
      <c r="S161" s="4" t="s">
        <v>33</v>
      </c>
      <c r="T161" s="3" t="b">
        <f t="shared" si="6"/>
        <v>1</v>
      </c>
      <c r="U161" s="3" t="b">
        <f t="shared" si="7"/>
        <v>1</v>
      </c>
      <c r="V161" s="3" t="b">
        <f t="shared" si="8"/>
        <v>1</v>
      </c>
      <c r="W161" s="12" t="str">
        <f t="shared" si="9"/>
        <v/>
      </c>
      <c r="Y161" s="4" t="b">
        <f t="shared" si="10"/>
        <v>1</v>
      </c>
      <c r="Z161" s="12" t="str">
        <f t="shared" si="11"/>
        <v/>
      </c>
      <c r="AA161" s="4"/>
      <c r="AB161" s="95" t="str">
        <f>IF(T57=TRUE,"h) Heftgrunning","")</f>
        <v/>
      </c>
      <c r="AC161" s="4"/>
      <c r="AD161" s="4"/>
      <c r="AE161" s="4"/>
      <c r="AF161" s="4"/>
      <c r="AG161" s="4"/>
      <c r="AH161" s="4"/>
      <c r="AI161" s="4"/>
      <c r="AJ161" s="4"/>
      <c r="AK161" s="4"/>
      <c r="AL161" s="4"/>
      <c r="AM161" s="4"/>
      <c r="AN161" s="4" t="b">
        <f>OR(AO161,AP161)</f>
        <v>0</v>
      </c>
      <c r="AO161" s="4" t="b">
        <f>IF(O46=2,IF(O58=9,TRUE,FALSE))</f>
        <v>0</v>
      </c>
      <c r="AP161" s="4" t="b">
        <f>IF(O46=2,IF(O58=10,TRUE,FALSE))</f>
        <v>0</v>
      </c>
      <c r="AQ161" s="4"/>
      <c r="AR161" s="4"/>
      <c r="AS161" s="4"/>
      <c r="AT161" s="4"/>
      <c r="AU161" s="4"/>
      <c r="AV161" s="4"/>
      <c r="AW161" s="4"/>
      <c r="AX161" s="4"/>
      <c r="AY161" s="4"/>
      <c r="AZ161" s="4"/>
      <c r="BA161" s="4"/>
      <c r="BB161" s="4"/>
      <c r="BC161" s="4"/>
      <c r="BD161" s="4"/>
      <c r="BE161" s="4"/>
      <c r="BF161" s="4"/>
      <c r="BG161" s="4"/>
      <c r="BH161" s="16"/>
      <c r="BI161" s="16"/>
      <c r="BJ161" s="16"/>
      <c r="BK161" s="16"/>
      <c r="BL161" s="16"/>
      <c r="BM161" s="16"/>
      <c r="BN161" s="16"/>
      <c r="BO161" s="16"/>
      <c r="BP161" s="16"/>
      <c r="BQ161" s="16"/>
      <c r="BR161" s="16"/>
      <c r="BS161" s="16"/>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row>
    <row r="162" spans="1:124">
      <c r="A162" s="14"/>
      <c r="B162" s="14"/>
      <c r="C162" s="43"/>
      <c r="D162" s="43"/>
      <c r="E162" s="42"/>
      <c r="F162" s="42"/>
      <c r="G162" s="43"/>
      <c r="H162" s="43"/>
      <c r="I162" s="43"/>
      <c r="J162" s="43"/>
      <c r="K162" s="43"/>
      <c r="L162" s="42"/>
      <c r="M162" s="14"/>
      <c r="N162" s="14"/>
      <c r="O162" s="14"/>
      <c r="P162" s="16"/>
      <c r="Q162" s="4"/>
      <c r="R162" s="4"/>
      <c r="S162" s="4" t="s">
        <v>35</v>
      </c>
      <c r="T162" s="3" t="b">
        <f t="shared" si="6"/>
        <v>1</v>
      </c>
      <c r="U162" s="3" t="b">
        <f t="shared" si="7"/>
        <v>1</v>
      </c>
      <c r="V162" s="3" t="b">
        <f t="shared" si="8"/>
        <v>1</v>
      </c>
      <c r="W162" s="12" t="str">
        <f t="shared" si="9"/>
        <v/>
      </c>
      <c r="Y162" s="4" t="b">
        <f t="shared" si="10"/>
        <v>1</v>
      </c>
      <c r="Z162" s="12" t="str">
        <f t="shared" si="11"/>
        <v/>
      </c>
      <c r="AA162" s="4"/>
      <c r="AB162" s="95" t="str">
        <f>IF(T57=TRUE,"i) Enkomponent spesialmaling","")</f>
        <v/>
      </c>
      <c r="AC162" s="4"/>
      <c r="AD162" s="4"/>
      <c r="AE162" s="4"/>
      <c r="AF162" s="4"/>
      <c r="AG162" s="4"/>
      <c r="AH162" s="4"/>
      <c r="AI162" s="10" t="str">
        <f>CONCATENATE(E148,"
",E149,"
",E150)</f>
        <v xml:space="preserve">
</v>
      </c>
      <c r="AJ162" s="10" t="str">
        <f>CONCATENATE(AJ166,"
",AJ167,"
",AJ168)</f>
        <v xml:space="preserve">
</v>
      </c>
      <c r="AK162" s="10" t="str">
        <f>CONCATENATE(AM166," ",AN166,"
",AM167," ",AN167,"
",AM168," ",AN168)</f>
        <v>0 0
0 0
0 0</v>
      </c>
      <c r="AL162" s="10" t="str">
        <f>CONCATENATE(AL166,"
",AL167,"
",AL168)</f>
        <v xml:space="preserve">
</v>
      </c>
      <c r="AM162" s="10" t="str">
        <f>CONCATENATE(L148,"
",L149,"
",L150)</f>
        <v xml:space="preserve">
</v>
      </c>
      <c r="AN162" s="4" t="b">
        <f>IF(BH181="Navn på produsent mangler!",TRUE,FALSE)</f>
        <v>1</v>
      </c>
      <c r="AO162" s="4"/>
      <c r="AP162" s="4"/>
      <c r="AQ162" s="4"/>
      <c r="AR162" s="4"/>
      <c r="AS162" s="4"/>
      <c r="AT162" s="4"/>
      <c r="AU162" s="4"/>
      <c r="AV162" s="4"/>
      <c r="AW162" s="4"/>
      <c r="AX162" s="4"/>
      <c r="AY162" s="4"/>
      <c r="AZ162" s="4"/>
      <c r="BA162" s="4"/>
      <c r="BB162" s="4"/>
      <c r="BC162" s="4"/>
      <c r="BD162" s="4"/>
      <c r="BE162" s="4"/>
      <c r="BF162" s="4"/>
      <c r="BG162" s="4"/>
      <c r="BH162" s="16"/>
      <c r="BI162" s="16"/>
      <c r="BJ162" s="16"/>
      <c r="BK162" s="16"/>
      <c r="BL162" s="16"/>
      <c r="BM162" s="16"/>
      <c r="BN162" s="16"/>
      <c r="BO162" s="16"/>
      <c r="BP162" s="16"/>
      <c r="BQ162" s="16"/>
      <c r="BR162" s="16"/>
      <c r="BS162" s="16"/>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row>
    <row r="163" spans="1:124">
      <c r="A163" s="14"/>
      <c r="B163" s="14"/>
      <c r="C163" s="43"/>
      <c r="D163" s="43"/>
      <c r="E163" s="42"/>
      <c r="F163" s="42"/>
      <c r="G163" s="43"/>
      <c r="H163" s="43"/>
      <c r="I163" s="43"/>
      <c r="J163" s="43"/>
      <c r="K163" s="43"/>
      <c r="L163" s="42"/>
      <c r="M163" s="41"/>
      <c r="N163" s="41"/>
      <c r="O163" s="41"/>
      <c r="P163" s="44"/>
      <c r="Q163" s="4"/>
      <c r="R163" s="4"/>
      <c r="S163" s="4" t="s">
        <v>32</v>
      </c>
      <c r="T163" s="3" t="b">
        <f t="shared" si="6"/>
        <v>1</v>
      </c>
      <c r="U163" s="3" t="b">
        <f t="shared" si="7"/>
        <v>1</v>
      </c>
      <c r="V163" s="3" t="b">
        <f t="shared" si="8"/>
        <v>1</v>
      </c>
      <c r="W163" s="12" t="str">
        <f t="shared" si="9"/>
        <v/>
      </c>
      <c r="Y163" s="4" t="b">
        <f t="shared" si="10"/>
        <v>1</v>
      </c>
      <c r="Z163" s="12" t="str">
        <f t="shared" si="11"/>
        <v/>
      </c>
      <c r="AA163" s="4"/>
      <c r="AB163" s="95" t="str">
        <f>IF(T57=TRUE,"j) Tokomponent spesialmaling","")</f>
        <v/>
      </c>
      <c r="AC163" s="4"/>
      <c r="AD163" s="4"/>
      <c r="AE163" s="4"/>
      <c r="AF163" s="4"/>
      <c r="AG163" s="4"/>
      <c r="AH163" s="4"/>
      <c r="AI163" s="10" t="str">
        <f>CONCATENATE(E153,"
",E154)</f>
        <v xml:space="preserve">
</v>
      </c>
      <c r="AJ163" s="10" t="str">
        <f>CONCATENATE(AJ169,"
",AJ170)</f>
        <v xml:space="preserve">
</v>
      </c>
      <c r="AK163" s="10" t="str">
        <f>CONCATENATE(AM169," ",AN169,"
",AM170," ",AN170)</f>
        <v>0 0
0 0</v>
      </c>
      <c r="AL163" s="10" t="str">
        <f>CONCATENATE(AL169,"
",AL170)</f>
        <v xml:space="preserve">
</v>
      </c>
      <c r="AM163" s="10" t="str">
        <f>CONCATENATE(L153,"
",L154)</f>
        <v xml:space="preserve">
</v>
      </c>
      <c r="AN163" s="4" t="b">
        <f>OR(AN160:AN162)</f>
        <v>1</v>
      </c>
      <c r="AO163" s="4"/>
      <c r="AP163" s="4"/>
      <c r="AQ163" s="4"/>
      <c r="AR163" s="4"/>
      <c r="AS163" s="4"/>
      <c r="AT163" s="4"/>
      <c r="AU163" s="4"/>
      <c r="AV163" s="4"/>
      <c r="AW163" s="4"/>
      <c r="AX163" s="4"/>
      <c r="AY163" s="4"/>
      <c r="AZ163" s="4"/>
      <c r="BA163" s="4"/>
      <c r="BB163" s="4"/>
      <c r="BC163" s="4"/>
      <c r="BD163" s="4"/>
      <c r="BE163" s="4"/>
      <c r="BF163" s="4"/>
      <c r="BG163" s="4"/>
      <c r="BH163" s="16"/>
      <c r="BI163" s="16"/>
      <c r="BJ163" s="16"/>
      <c r="BK163" s="16"/>
      <c r="BL163" s="16"/>
      <c r="BM163" s="16"/>
      <c r="BN163" s="16"/>
      <c r="BO163" s="16"/>
      <c r="BP163" s="16"/>
      <c r="BQ163" s="16"/>
      <c r="BR163" s="16"/>
      <c r="BS163" s="16"/>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row>
    <row r="164" spans="1:124">
      <c r="A164" s="14"/>
      <c r="B164" s="14"/>
      <c r="C164" s="43"/>
      <c r="D164" s="43"/>
      <c r="E164" s="42"/>
      <c r="F164" s="42"/>
      <c r="G164" s="43"/>
      <c r="H164" s="43"/>
      <c r="I164" s="43"/>
      <c r="J164" s="43"/>
      <c r="K164" s="43"/>
      <c r="L164" s="42"/>
      <c r="M164" s="14"/>
      <c r="N164" s="14"/>
      <c r="O164" s="14"/>
      <c r="P164" s="16"/>
      <c r="Q164" s="4"/>
      <c r="R164" s="4"/>
      <c r="S164" s="4" t="s">
        <v>42</v>
      </c>
      <c r="T164" s="3" t="b">
        <f t="shared" si="6"/>
        <v>1</v>
      </c>
      <c r="U164" s="3" t="b">
        <f t="shared" si="7"/>
        <v>1</v>
      </c>
      <c r="V164" s="3" t="b">
        <f t="shared" si="8"/>
        <v>1</v>
      </c>
      <c r="W164" s="12" t="str">
        <f t="shared" si="9"/>
        <v/>
      </c>
      <c r="Y164" s="4" t="b">
        <f t="shared" si="10"/>
        <v>1</v>
      </c>
      <c r="Z164" s="12" t="str">
        <f t="shared" si="11"/>
        <v/>
      </c>
      <c r="AA164" s="4"/>
      <c r="AB164" s="95" t="str">
        <f>IF(T57=TRUE,"k) Flerfargede malinger","")</f>
        <v/>
      </c>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16"/>
      <c r="BI164" s="16"/>
      <c r="BJ164" s="16"/>
      <c r="BK164" s="16"/>
      <c r="BL164" s="16"/>
      <c r="BM164" s="16"/>
      <c r="BN164" s="16"/>
      <c r="BO164" s="16"/>
      <c r="BP164" s="16"/>
      <c r="BQ164" s="16"/>
      <c r="BR164" s="16"/>
      <c r="BS164" s="16"/>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row>
    <row r="165" spans="1:124">
      <c r="A165" s="14"/>
      <c r="B165" s="14"/>
      <c r="C165" s="43"/>
      <c r="D165" s="43"/>
      <c r="E165" s="42"/>
      <c r="F165" s="42"/>
      <c r="G165" s="43"/>
      <c r="H165" s="43"/>
      <c r="I165" s="43"/>
      <c r="J165" s="43"/>
      <c r="K165" s="43"/>
      <c r="L165" s="42"/>
      <c r="M165" s="14"/>
      <c r="N165" s="14"/>
      <c r="O165" s="14"/>
      <c r="P165" s="16"/>
      <c r="Q165" s="4"/>
      <c r="R165" s="4"/>
      <c r="S165" s="4" t="s">
        <v>34</v>
      </c>
      <c r="T165" s="3" t="b">
        <f>IF(G157="",TRUE,FALSE)</f>
        <v>1</v>
      </c>
      <c r="U165" s="3" t="b">
        <f t="shared" si="7"/>
        <v>1</v>
      </c>
      <c r="V165" s="3" t="b">
        <f t="shared" si="8"/>
        <v>1</v>
      </c>
      <c r="W165" s="12" t="str">
        <f t="shared" si="9"/>
        <v/>
      </c>
      <c r="Y165" s="4" t="b">
        <f t="shared" si="10"/>
        <v>1</v>
      </c>
      <c r="Z165" s="12" t="str">
        <f t="shared" si="11"/>
        <v/>
      </c>
      <c r="AA165" s="4"/>
      <c r="AB165" s="95" t="str">
        <f>IF(T57=TRUE,"l) Effektmaling","")</f>
        <v/>
      </c>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16"/>
      <c r="BI165" s="16"/>
      <c r="BJ165" s="16"/>
      <c r="BK165" s="16"/>
      <c r="BL165" s="16"/>
      <c r="BM165" s="16"/>
      <c r="BN165" s="16"/>
      <c r="BO165" s="16"/>
      <c r="BP165" s="16"/>
      <c r="BQ165" s="16"/>
      <c r="BR165" s="16"/>
      <c r="BS165" s="16"/>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row>
    <row r="166" spans="1:124">
      <c r="A166" s="14"/>
      <c r="B166" s="14"/>
      <c r="C166" s="43"/>
      <c r="D166" s="43"/>
      <c r="E166" s="42"/>
      <c r="F166" s="42"/>
      <c r="G166" s="43"/>
      <c r="H166" s="43"/>
      <c r="I166" s="43"/>
      <c r="J166" s="43"/>
      <c r="K166" s="43"/>
      <c r="L166" s="42"/>
      <c r="M166" s="14"/>
      <c r="N166" s="14"/>
      <c r="O166" s="14"/>
      <c r="P166" s="16"/>
      <c r="Q166" s="4"/>
      <c r="R166" s="4"/>
      <c r="S166" s="4" t="s">
        <v>43</v>
      </c>
      <c r="T166" s="3" t="b">
        <f>IF(Q46=TRUE,TRUE,AND(T156:T165))</f>
        <v>1</v>
      </c>
      <c r="W166" s="4"/>
      <c r="X166" s="4"/>
      <c r="Y166" s="4"/>
      <c r="Z166" s="4"/>
      <c r="AA166" s="4"/>
      <c r="AB166" s="4"/>
      <c r="AC166" s="4"/>
      <c r="AD166" s="4"/>
      <c r="AE166" s="4"/>
      <c r="AF166" s="4"/>
      <c r="AG166" s="4"/>
      <c r="AH166" s="4"/>
      <c r="AI166" s="4"/>
      <c r="AJ166" s="91" t="str">
        <f>IF(C148="","",C148&amp;" ("&amp;Z156&amp;")")</f>
        <v/>
      </c>
      <c r="AK166" s="4"/>
      <c r="AL166" s="91" t="str">
        <f>IF(V156=TRUE,"",IF(T156=TRUE,W156,W156))</f>
        <v/>
      </c>
      <c r="AM166" s="4">
        <f>IF($Y$156=FALSE,"",J148)</f>
        <v>0</v>
      </c>
      <c r="AN166" s="4">
        <f>IF(Y156=FALSE,"",K148)</f>
        <v>0</v>
      </c>
      <c r="AO166" s="4"/>
      <c r="AP166" s="4"/>
      <c r="AQ166" s="4"/>
      <c r="AR166" s="4"/>
      <c r="AS166" s="4"/>
      <c r="AT166" s="4"/>
      <c r="AU166" s="4"/>
      <c r="AV166" s="4"/>
      <c r="AW166" s="4"/>
      <c r="AX166" s="4"/>
      <c r="AY166" s="4"/>
      <c r="AZ166" s="4"/>
      <c r="BA166" s="4"/>
      <c r="BB166" s="4"/>
      <c r="BC166" s="4"/>
      <c r="BD166" s="4"/>
      <c r="BE166" s="4"/>
      <c r="BF166" s="4"/>
      <c r="BG166" s="4"/>
      <c r="BH166" s="16"/>
      <c r="BI166" s="16"/>
      <c r="BJ166" s="16"/>
      <c r="BK166" s="16"/>
      <c r="BL166" s="16"/>
      <c r="BM166" s="16"/>
      <c r="BN166" s="16"/>
      <c r="BO166" s="16"/>
      <c r="BP166" s="16"/>
      <c r="BQ166" s="16"/>
      <c r="BR166" s="16"/>
      <c r="BS166" s="16"/>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row>
    <row r="167" spans="1:124">
      <c r="A167" s="14"/>
      <c r="B167" s="14"/>
      <c r="C167" s="43"/>
      <c r="D167" s="43"/>
      <c r="E167" s="42"/>
      <c r="F167" s="42"/>
      <c r="G167" s="43"/>
      <c r="H167" s="43"/>
      <c r="I167" s="43"/>
      <c r="J167" s="43"/>
      <c r="K167" s="43"/>
      <c r="L167" s="42"/>
      <c r="M167" s="14"/>
      <c r="N167" s="14"/>
      <c r="O167" s="14"/>
      <c r="P167" s="16"/>
      <c r="Q167" s="4"/>
      <c r="R167" s="4"/>
      <c r="S167" s="4" t="s">
        <v>44</v>
      </c>
      <c r="T167" s="4" t="s">
        <v>68</v>
      </c>
      <c r="U167" s="4"/>
      <c r="V167" s="4"/>
      <c r="W167" s="4"/>
      <c r="X167" s="4"/>
      <c r="Y167" s="4"/>
      <c r="Z167" s="4"/>
      <c r="AA167" s="4"/>
      <c r="AB167" s="4"/>
      <c r="AC167" s="4"/>
      <c r="AD167" s="4"/>
      <c r="AE167" s="4"/>
      <c r="AF167" s="4"/>
      <c r="AG167" s="4"/>
      <c r="AH167" s="4"/>
      <c r="AI167" s="4"/>
      <c r="AJ167" s="91" t="str">
        <f>IF(C149="","",C149&amp;" ("&amp;Z157&amp;")")</f>
        <v/>
      </c>
      <c r="AK167" s="4"/>
      <c r="AL167" s="91" t="str">
        <f>IF(V157=TRUE,"",IF(T157=TRUE,,W157))</f>
        <v/>
      </c>
      <c r="AM167" s="4">
        <f>IF(Y157=FALSE,"",J149)</f>
        <v>0</v>
      </c>
      <c r="AN167" s="4">
        <f>IF(Y157=FALSE,"",K149)</f>
        <v>0</v>
      </c>
      <c r="AO167" s="4"/>
      <c r="AP167" s="4"/>
      <c r="AQ167" s="4"/>
      <c r="AR167" s="4"/>
      <c r="AS167" s="4"/>
      <c r="AT167" s="4"/>
      <c r="AU167" s="4"/>
      <c r="AV167" s="4"/>
      <c r="AW167" s="4"/>
      <c r="AX167" s="4"/>
      <c r="AY167" s="4"/>
      <c r="AZ167" s="4"/>
      <c r="BA167" s="4"/>
      <c r="BB167" s="4"/>
      <c r="BC167" s="4"/>
      <c r="BD167" s="4"/>
      <c r="BE167" s="4"/>
      <c r="BF167" s="4"/>
      <c r="BG167" s="4"/>
      <c r="BH167" s="16"/>
      <c r="BI167" s="16"/>
      <c r="BJ167" s="16"/>
      <c r="BK167" s="16"/>
      <c r="BL167" s="16"/>
      <c r="BM167" s="16"/>
      <c r="BN167" s="16"/>
      <c r="BO167" s="16"/>
      <c r="BP167" s="16"/>
      <c r="BQ167" s="16"/>
      <c r="BR167" s="16"/>
      <c r="BS167" s="16"/>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row>
    <row r="168" spans="1:124">
      <c r="A168" s="14"/>
      <c r="B168" s="14"/>
      <c r="C168" s="43"/>
      <c r="D168" s="43"/>
      <c r="E168" s="42"/>
      <c r="F168" s="42"/>
      <c r="G168" s="43"/>
      <c r="H168" s="43"/>
      <c r="I168" s="43"/>
      <c r="J168" s="43"/>
      <c r="K168" s="43"/>
      <c r="L168" s="42"/>
      <c r="M168" s="14"/>
      <c r="N168" s="14"/>
      <c r="O168" s="14"/>
      <c r="P168" s="16"/>
      <c r="Q168" s="4"/>
      <c r="R168" s="4"/>
      <c r="S168" s="4"/>
      <c r="T168" s="4" t="s">
        <v>67</v>
      </c>
      <c r="U168" s="4"/>
      <c r="V168" s="4"/>
      <c r="W168" s="4"/>
      <c r="X168" s="4"/>
      <c r="Y168" s="4"/>
      <c r="Z168" s="4"/>
      <c r="AA168" s="4"/>
      <c r="AB168" s="4"/>
      <c r="AC168" s="4"/>
      <c r="AD168" s="4"/>
      <c r="AE168" s="4"/>
      <c r="AF168" s="4"/>
      <c r="AG168" s="4"/>
      <c r="AH168" s="4"/>
      <c r="AI168" s="4"/>
      <c r="AJ168" s="91" t="str">
        <f>IF(C150="","",C150&amp;" ("&amp;Z158&amp;")")</f>
        <v/>
      </c>
      <c r="AK168" s="4"/>
      <c r="AL168" s="91" t="str">
        <f>IF(V158=TRUE,"",IF(T158=TRUE,W158,W158))</f>
        <v/>
      </c>
      <c r="AM168" s="4">
        <f>IF(Y158=FALSE,"",J150)</f>
        <v>0</v>
      </c>
      <c r="AN168" s="4">
        <f>IF(Y158=FALSE,"",K150)</f>
        <v>0</v>
      </c>
      <c r="AO168" s="4"/>
      <c r="AP168" s="4"/>
      <c r="AQ168" s="4"/>
      <c r="AR168" s="4"/>
      <c r="AS168" s="4"/>
      <c r="AT168" s="4"/>
      <c r="AU168" s="4"/>
      <c r="AV168" s="4"/>
      <c r="AW168" s="4"/>
      <c r="AX168" s="4"/>
      <c r="AY168" s="4"/>
      <c r="AZ168" s="4"/>
      <c r="BA168" s="4"/>
      <c r="BB168" s="4"/>
      <c r="BC168" s="4"/>
      <c r="BD168" s="4"/>
      <c r="BE168" s="4"/>
      <c r="BF168" s="4"/>
      <c r="BG168" s="4"/>
      <c r="BH168" s="16"/>
      <c r="BI168" s="16"/>
      <c r="BJ168" s="16"/>
      <c r="BK168" s="16"/>
      <c r="BL168" s="16"/>
      <c r="BM168" s="16"/>
      <c r="BN168" s="16"/>
      <c r="BO168" s="16"/>
      <c r="BP168" s="16"/>
      <c r="BQ168" s="16"/>
      <c r="BR168" s="16"/>
      <c r="BS168" s="16"/>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row>
    <row r="169" spans="1:124">
      <c r="A169" s="14"/>
      <c r="B169" s="14"/>
      <c r="C169" s="45"/>
      <c r="D169" s="45"/>
      <c r="E169" s="41"/>
      <c r="F169" s="41"/>
      <c r="G169" s="45"/>
      <c r="H169" s="45"/>
      <c r="I169" s="45"/>
      <c r="J169" s="45"/>
      <c r="K169" s="45"/>
      <c r="L169" s="41"/>
      <c r="M169" s="14"/>
      <c r="N169" s="14"/>
      <c r="O169" s="14"/>
      <c r="P169" s="16"/>
      <c r="Q169" s="4"/>
      <c r="R169" s="4"/>
      <c r="S169" s="4"/>
      <c r="T169" s="4" t="str">
        <f>CONCATENATE(T167,T168)</f>
        <v>* Interiørmaling og lakk har blitt testet mot EN ISO 11890-2:2006 Malinger og lakk. Bestemmelse av VOC-innhold (flyktige organiske forbindelser). Gasskromatografisk metode og tilfredsstiller de maksimale grenseverdiene for VOC-innhold i fase II som fastsatt i tillegg II til direktiv 2004/42/EC om interiørmaling.  All interiørmaling og lakk er dessuten også motstandsdyktig mot sopp og alger (før påføring).</v>
      </c>
      <c r="U169" s="4"/>
      <c r="V169" s="4"/>
      <c r="W169" s="4"/>
      <c r="X169" s="4"/>
      <c r="Y169" s="4"/>
      <c r="Z169" s="4"/>
      <c r="AA169" s="4"/>
      <c r="AB169" s="4"/>
      <c r="AC169" s="4"/>
      <c r="AD169" s="4"/>
      <c r="AE169" s="4"/>
      <c r="AF169" s="4"/>
      <c r="AG169" s="4"/>
      <c r="AH169" s="4"/>
      <c r="AI169" s="4"/>
      <c r="AJ169" s="91" t="str">
        <f>IF(C153="","",C153&amp;" ("&amp;Z161&amp;")")</f>
        <v/>
      </c>
      <c r="AK169" s="4"/>
      <c r="AL169" s="91" t="str">
        <f>IF(V159=TRUE,"",IF(T159=TRUE,W159))</f>
        <v/>
      </c>
      <c r="AM169" s="4">
        <f>IF(Y161=FALSE,"",J153)</f>
        <v>0</v>
      </c>
      <c r="AN169" s="4">
        <f>IF(Y161=FALSE,"",K153)</f>
        <v>0</v>
      </c>
      <c r="AO169" s="4"/>
      <c r="AP169" s="4"/>
      <c r="AQ169" s="4"/>
      <c r="AR169" s="4"/>
      <c r="AS169" s="4"/>
      <c r="AT169" s="4"/>
      <c r="AU169" s="4"/>
      <c r="AV169" s="4"/>
      <c r="AW169" s="4"/>
      <c r="AX169" s="4"/>
      <c r="AY169" s="4"/>
      <c r="AZ169" s="4"/>
      <c r="BA169" s="4"/>
      <c r="BB169" s="4"/>
      <c r="BC169" s="4"/>
      <c r="BD169" s="4"/>
      <c r="BE169" s="4"/>
      <c r="BF169" s="4"/>
      <c r="BG169" s="4"/>
      <c r="BH169" s="16"/>
      <c r="BI169" s="16"/>
      <c r="BJ169" s="16"/>
      <c r="BK169" s="16"/>
      <c r="BL169" s="16"/>
      <c r="BM169" s="16"/>
      <c r="BN169" s="16"/>
      <c r="BO169" s="16"/>
      <c r="BP169" s="16"/>
      <c r="BQ169" s="16"/>
      <c r="BR169" s="16"/>
      <c r="BS169" s="16"/>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row>
    <row r="170" spans="1:124">
      <c r="A170" s="14"/>
      <c r="B170" s="14"/>
      <c r="C170" s="45"/>
      <c r="D170" s="45"/>
      <c r="E170" s="41"/>
      <c r="F170" s="41"/>
      <c r="G170" s="45"/>
      <c r="H170" s="45"/>
      <c r="I170" s="45"/>
      <c r="J170" s="45"/>
      <c r="K170" s="45"/>
      <c r="L170" s="41"/>
      <c r="M170" s="14"/>
      <c r="N170" s="14"/>
      <c r="O170" s="14"/>
      <c r="P170" s="16"/>
      <c r="Q170" s="4"/>
      <c r="R170" s="4"/>
      <c r="S170" s="4"/>
      <c r="T170" s="4"/>
      <c r="U170" s="4"/>
      <c r="V170" s="4"/>
      <c r="W170" s="4"/>
      <c r="X170" s="4"/>
      <c r="Y170" s="4"/>
      <c r="Z170" s="4"/>
      <c r="AA170" s="4"/>
      <c r="AB170" s="96"/>
      <c r="AC170" s="97"/>
      <c r="AD170" s="4"/>
      <c r="AE170" s="4"/>
      <c r="AF170" s="4"/>
      <c r="AG170" s="4"/>
      <c r="AH170" s="4"/>
      <c r="AI170" s="4"/>
      <c r="AJ170" s="91" t="str">
        <f>IF(C154="","",C154&amp;" ("&amp;Z162&amp;")")</f>
        <v/>
      </c>
      <c r="AK170" s="4"/>
      <c r="AL170" s="91" t="str">
        <f>IF(V160=TRUE,"",IF(T160=TRUE,W160,W160))</f>
        <v/>
      </c>
      <c r="AM170" s="4">
        <f>IF(Y162=FALSE,"",J154)</f>
        <v>0</v>
      </c>
      <c r="AN170" s="4">
        <f>IF(Y162=FALSE,"",K154)</f>
        <v>0</v>
      </c>
      <c r="AO170" s="4"/>
      <c r="AP170" s="4"/>
      <c r="AQ170" s="4"/>
      <c r="AR170" s="4"/>
      <c r="AS170" s="4"/>
      <c r="AT170" s="4"/>
      <c r="AU170" s="4"/>
      <c r="AV170" s="4"/>
      <c r="AW170" s="4"/>
      <c r="AX170" s="4"/>
      <c r="AY170" s="4"/>
      <c r="AZ170" s="4"/>
      <c r="BA170" s="4"/>
      <c r="BB170" s="4"/>
      <c r="BC170" s="4"/>
      <c r="BD170" s="4"/>
      <c r="BE170" s="4"/>
      <c r="BF170" s="4"/>
      <c r="BG170" s="4"/>
      <c r="BH170" s="16"/>
      <c r="BI170" s="16"/>
      <c r="BJ170" s="16"/>
      <c r="BK170" s="16"/>
      <c r="BL170" s="16"/>
      <c r="BM170" s="16"/>
      <c r="BN170" s="16"/>
      <c r="BO170" s="16"/>
      <c r="BP170" s="16"/>
      <c r="BQ170" s="16"/>
      <c r="BR170" s="16"/>
      <c r="BS170" s="16"/>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row>
    <row r="171" spans="1:124">
      <c r="A171" s="14"/>
      <c r="B171" s="14"/>
      <c r="C171" s="41"/>
      <c r="D171" s="41"/>
      <c r="E171" s="41"/>
      <c r="F171" s="41"/>
      <c r="G171" s="41"/>
      <c r="H171" s="41"/>
      <c r="I171" s="41"/>
      <c r="J171" s="41"/>
      <c r="K171" s="41"/>
      <c r="L171" s="41"/>
      <c r="M171" s="14"/>
      <c r="N171" s="14"/>
      <c r="O171" s="14"/>
      <c r="P171" s="14"/>
      <c r="AB171" s="96"/>
      <c r="AC171" s="97"/>
      <c r="BH171" s="59"/>
      <c r="BI171" s="59"/>
      <c r="BJ171" s="59"/>
      <c r="BK171" s="59"/>
      <c r="BL171" s="59"/>
      <c r="BM171" s="59"/>
      <c r="BN171" s="59"/>
      <c r="BO171" s="59"/>
      <c r="BP171" s="59"/>
      <c r="BQ171" s="59"/>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row>
    <row r="172" spans="1:124" ht="18">
      <c r="A172" s="14"/>
      <c r="B172" s="14"/>
      <c r="C172" s="14"/>
      <c r="D172" s="14"/>
      <c r="E172" s="14"/>
      <c r="F172" s="14"/>
      <c r="G172" s="14"/>
      <c r="H172" s="14"/>
      <c r="I172" s="14"/>
      <c r="J172" s="14"/>
      <c r="K172" s="14"/>
      <c r="L172" s="14"/>
      <c r="M172" s="14"/>
      <c r="N172" s="14"/>
      <c r="O172" s="14"/>
      <c r="P172" s="46"/>
      <c r="AB172" s="96"/>
      <c r="AC172" s="97"/>
      <c r="BH172" s="60" t="str">
        <f>C2</f>
        <v>Egendeklarasjon BREEAM-NOR</v>
      </c>
      <c r="BI172" s="61"/>
      <c r="BJ172" s="61"/>
      <c r="BK172" s="61"/>
      <c r="BL172" s="61"/>
      <c r="BM172" s="61"/>
      <c r="BN172" s="61"/>
      <c r="BO172" s="61"/>
      <c r="BP172" s="61"/>
      <c r="BQ172" s="61"/>
      <c r="BR172" s="62"/>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row>
    <row r="173" spans="1:124" ht="15" customHeight="1">
      <c r="A173" s="14"/>
      <c r="B173" s="14"/>
      <c r="C173" s="14"/>
      <c r="D173" s="14"/>
      <c r="E173" s="14"/>
      <c r="F173" s="14"/>
      <c r="G173" s="14"/>
      <c r="H173" s="14"/>
      <c r="I173" s="14"/>
      <c r="J173" s="14"/>
      <c r="K173" s="14"/>
      <c r="L173" s="14"/>
      <c r="M173" s="14"/>
      <c r="N173" s="14"/>
      <c r="O173" s="14"/>
      <c r="P173" s="46"/>
      <c r="AB173" s="96"/>
      <c r="AC173" s="97"/>
      <c r="BH173" s="158" t="str">
        <f>C4</f>
        <v/>
      </c>
      <c r="BI173" s="158"/>
      <c r="BJ173" s="158"/>
      <c r="BK173" s="158"/>
      <c r="BL173" s="158"/>
      <c r="BM173" s="158"/>
      <c r="BN173" s="158"/>
      <c r="BO173" s="158"/>
      <c r="BP173" s="158"/>
      <c r="BQ173" s="158"/>
      <c r="BR173" s="62"/>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row>
    <row r="174" spans="1:124">
      <c r="A174" s="14"/>
      <c r="B174" s="14"/>
      <c r="C174" s="14"/>
      <c r="D174" s="14"/>
      <c r="E174" s="14"/>
      <c r="F174" s="14"/>
      <c r="G174" s="14"/>
      <c r="H174" s="14"/>
      <c r="I174" s="14"/>
      <c r="J174" s="14"/>
      <c r="K174" s="14"/>
      <c r="L174" s="40" t="s">
        <v>50</v>
      </c>
      <c r="M174" s="14"/>
      <c r="N174" s="14"/>
      <c r="O174" s="14"/>
      <c r="P174" s="46"/>
      <c r="AB174" s="96"/>
      <c r="AC174" s="97"/>
      <c r="BH174" s="159"/>
      <c r="BI174" s="159"/>
      <c r="BJ174" s="159"/>
      <c r="BK174" s="159"/>
      <c r="BL174" s="159"/>
      <c r="BM174" s="159"/>
      <c r="BN174" s="159"/>
      <c r="BO174" s="159"/>
      <c r="BP174" s="159"/>
      <c r="BQ174" s="159"/>
      <c r="BR174" s="62"/>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row>
    <row r="175" spans="1:124">
      <c r="A175" s="14"/>
      <c r="B175" s="14"/>
      <c r="C175" s="14"/>
      <c r="D175" s="14"/>
      <c r="E175" s="14"/>
      <c r="F175" s="14"/>
      <c r="G175" s="14"/>
      <c r="H175" s="14"/>
      <c r="I175" s="14"/>
      <c r="J175" s="14"/>
      <c r="K175" s="14"/>
      <c r="L175" s="14"/>
      <c r="M175" s="14"/>
      <c r="N175" s="14"/>
      <c r="O175" s="14"/>
      <c r="P175" s="46"/>
      <c r="AB175" s="96"/>
      <c r="AC175" s="97"/>
      <c r="BH175" s="63"/>
      <c r="BI175" s="63"/>
      <c r="BJ175" s="63"/>
      <c r="BK175" s="63"/>
      <c r="BL175" s="63"/>
      <c r="BM175" s="63"/>
      <c r="BN175" s="63"/>
      <c r="BO175" s="63"/>
      <c r="BP175" s="63"/>
      <c r="BQ175" s="63"/>
      <c r="BR175" s="62"/>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row>
    <row r="176" spans="1:124" ht="15" customHeight="1">
      <c r="A176" s="14"/>
      <c r="B176" s="14"/>
      <c r="C176" s="14"/>
      <c r="D176" s="14"/>
      <c r="E176" s="14"/>
      <c r="F176" s="14"/>
      <c r="G176" s="14"/>
      <c r="H176" s="14"/>
      <c r="I176" s="14"/>
      <c r="J176" s="14"/>
      <c r="K176" s="14"/>
      <c r="L176" s="14"/>
      <c r="M176" s="14"/>
      <c r="N176" s="14"/>
      <c r="O176" s="14"/>
      <c r="P176" s="46"/>
      <c r="AB176" s="96"/>
      <c r="AC176" s="97"/>
      <c r="BH176" s="63"/>
      <c r="BI176" s="63"/>
      <c r="BJ176" s="63"/>
      <c r="BK176" s="63"/>
      <c r="BL176" s="63"/>
      <c r="BM176" s="170"/>
      <c r="BN176" s="170"/>
      <c r="BO176" s="170"/>
      <c r="BP176" s="170"/>
      <c r="BQ176" s="63"/>
      <c r="BR176" s="62"/>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row>
    <row r="177" spans="1:124">
      <c r="A177" s="14"/>
      <c r="B177" s="14"/>
      <c r="C177" s="14"/>
      <c r="D177" s="14"/>
      <c r="E177" s="14"/>
      <c r="F177" s="14"/>
      <c r="G177" s="14"/>
      <c r="H177" s="14"/>
      <c r="I177" s="14"/>
      <c r="J177" s="14"/>
      <c r="K177" s="14"/>
      <c r="L177" s="14"/>
      <c r="M177" s="14"/>
      <c r="N177" s="14"/>
      <c r="O177" s="14"/>
      <c r="P177" s="46"/>
      <c r="AB177" s="96"/>
      <c r="AC177" s="97"/>
      <c r="BH177" s="64" t="s">
        <v>13</v>
      </c>
      <c r="BI177" s="65"/>
      <c r="BJ177" s="65"/>
      <c r="BK177" s="65"/>
      <c r="BL177" s="65"/>
      <c r="BM177" s="170"/>
      <c r="BN177" s="170"/>
      <c r="BO177" s="170"/>
      <c r="BP177" s="170"/>
      <c r="BQ177" s="65"/>
      <c r="BR177" s="62"/>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row>
    <row r="178" spans="1:124" ht="20.25" customHeight="1">
      <c r="A178" s="14"/>
      <c r="B178" s="14"/>
      <c r="C178" s="14"/>
      <c r="D178" s="14"/>
      <c r="E178" s="14"/>
      <c r="F178" s="14"/>
      <c r="G178" s="14"/>
      <c r="H178" s="14"/>
      <c r="I178" s="14"/>
      <c r="J178" s="14"/>
      <c r="K178" s="14"/>
      <c r="L178" s="47"/>
      <c r="M178" s="48"/>
      <c r="N178" s="49"/>
      <c r="O178" s="49"/>
      <c r="P178" s="46"/>
      <c r="AB178" s="96"/>
      <c r="AC178" s="97"/>
      <c r="BH178" s="160" t="str">
        <f>IF(O58=1,"",VLOOKUP(O58,O59:P69,2,FALSE))</f>
        <v/>
      </c>
      <c r="BI178" s="160"/>
      <c r="BJ178" s="160"/>
      <c r="BK178" s="160"/>
      <c r="BL178" s="160"/>
      <c r="BM178" s="160"/>
      <c r="BN178" s="160"/>
      <c r="BO178" s="160"/>
      <c r="BP178" s="160"/>
      <c r="BQ178" s="160"/>
      <c r="BR178" s="62"/>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row>
    <row r="179" spans="1:124" ht="12" customHeight="1">
      <c r="A179" s="14"/>
      <c r="B179" s="14"/>
      <c r="C179" s="14"/>
      <c r="D179" s="14"/>
      <c r="E179" s="14"/>
      <c r="F179" s="14"/>
      <c r="G179" s="14"/>
      <c r="H179" s="14"/>
      <c r="I179" s="14"/>
      <c r="J179" s="14"/>
      <c r="K179" s="14"/>
      <c r="L179" s="50" t="s">
        <v>97</v>
      </c>
      <c r="M179" s="51"/>
      <c r="N179" s="52"/>
      <c r="O179" s="52"/>
      <c r="P179" s="46"/>
      <c r="AB179" s="96"/>
      <c r="AC179" s="97"/>
      <c r="BH179" s="66"/>
      <c r="BI179" s="66"/>
      <c r="BJ179" s="66"/>
      <c r="BK179" s="66"/>
      <c r="BL179" s="66"/>
      <c r="BM179" s="66"/>
      <c r="BN179" s="66"/>
      <c r="BO179" s="65"/>
      <c r="BP179" s="65"/>
      <c r="BQ179" s="65"/>
      <c r="BR179" s="62"/>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row>
    <row r="180" spans="1:124">
      <c r="A180" s="14"/>
      <c r="B180" s="14"/>
      <c r="C180" s="14"/>
      <c r="D180" s="14"/>
      <c r="E180" s="14"/>
      <c r="F180" s="14"/>
      <c r="G180" s="14"/>
      <c r="H180" s="14"/>
      <c r="I180" s="14"/>
      <c r="J180" s="14"/>
      <c r="K180" s="14"/>
      <c r="L180" s="50" t="s">
        <v>98</v>
      </c>
      <c r="M180" s="51"/>
      <c r="N180" s="52"/>
      <c r="O180" s="52"/>
      <c r="P180" s="46"/>
      <c r="AB180" s="96"/>
      <c r="AC180" s="97"/>
      <c r="BH180" s="64" t="s">
        <v>28</v>
      </c>
      <c r="BI180" s="67"/>
      <c r="BJ180" s="67"/>
      <c r="BK180" s="67"/>
      <c r="BL180" s="67"/>
      <c r="BM180" s="67"/>
      <c r="BN180" s="67"/>
      <c r="BO180" s="67"/>
      <c r="BP180" s="65"/>
      <c r="BQ180" s="68"/>
      <c r="BR180" s="62"/>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row>
    <row r="181" spans="1:124" ht="15.6">
      <c r="A181" s="14"/>
      <c r="B181" s="14"/>
      <c r="C181" s="14"/>
      <c r="D181" s="14"/>
      <c r="E181" s="14"/>
      <c r="F181" s="14"/>
      <c r="G181" s="14"/>
      <c r="H181" s="14"/>
      <c r="I181" s="14"/>
      <c r="J181" s="14"/>
      <c r="K181" s="14"/>
      <c r="L181" s="50" t="s">
        <v>99</v>
      </c>
      <c r="M181" s="51"/>
      <c r="N181" s="52"/>
      <c r="O181" s="52"/>
      <c r="P181" s="46"/>
      <c r="AB181" s="96"/>
      <c r="AC181" s="97"/>
      <c r="BH181" s="166" t="str">
        <f>IF(C8="","Navn på produsent mangler!",C8)</f>
        <v>Navn på produsent mangler!</v>
      </c>
      <c r="BI181" s="166"/>
      <c r="BJ181" s="166"/>
      <c r="BK181" s="166"/>
      <c r="BL181" s="166"/>
      <c r="BM181" s="166"/>
      <c r="BN181" s="166"/>
      <c r="BO181" s="166"/>
      <c r="BP181" s="65"/>
      <c r="BQ181" s="65"/>
      <c r="BR181" s="110"/>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row>
    <row r="182" spans="1:124">
      <c r="A182" s="14"/>
      <c r="B182" s="14"/>
      <c r="C182" s="14"/>
      <c r="D182" s="14"/>
      <c r="E182" s="14"/>
      <c r="F182" s="14"/>
      <c r="G182" s="14"/>
      <c r="H182" s="14"/>
      <c r="I182" s="14"/>
      <c r="J182" s="14"/>
      <c r="K182" s="14"/>
      <c r="L182" s="50" t="s">
        <v>100</v>
      </c>
      <c r="M182" s="51"/>
      <c r="N182" s="52"/>
      <c r="O182" s="52"/>
      <c r="P182" s="46"/>
      <c r="AA182" s="3">
        <f>LEN(AB182)</f>
        <v>157</v>
      </c>
      <c r="AB182" s="3" t="s">
        <v>57</v>
      </c>
      <c r="BH182" s="65"/>
      <c r="BI182" s="69"/>
      <c r="BJ182" s="69"/>
      <c r="BK182" s="69"/>
      <c r="BL182" s="69"/>
      <c r="BM182" s="65"/>
      <c r="BN182" s="65"/>
      <c r="BO182" s="65"/>
      <c r="BP182" s="65"/>
      <c r="BQ182" s="65"/>
      <c r="BR182" s="110"/>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row>
    <row r="183" spans="1:124" ht="15" customHeight="1">
      <c r="A183" s="14"/>
      <c r="B183" s="14"/>
      <c r="C183" s="14"/>
      <c r="D183" s="14"/>
      <c r="E183" s="14"/>
      <c r="F183" s="14"/>
      <c r="G183" s="14"/>
      <c r="H183" s="14"/>
      <c r="I183" s="14"/>
      <c r="J183" s="14"/>
      <c r="K183" s="14"/>
      <c r="L183" s="53"/>
      <c r="M183" s="54"/>
      <c r="N183" s="55"/>
      <c r="O183" s="55"/>
      <c r="P183" s="46"/>
      <c r="AA183" s="3">
        <f>LEN(AB183)</f>
        <v>80</v>
      </c>
      <c r="AB183" s="3" t="s">
        <v>58</v>
      </c>
      <c r="BH183" s="169" t="str">
        <f>T43</f>
        <v>.</v>
      </c>
      <c r="BI183" s="169"/>
      <c r="BJ183" s="169"/>
      <c r="BK183" s="169"/>
      <c r="BL183" s="169"/>
      <c r="BM183" s="169"/>
      <c r="BN183" s="169"/>
      <c r="BO183" s="169"/>
      <c r="BP183" s="169"/>
      <c r="BQ183" s="169"/>
      <c r="BR183" s="110"/>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row>
    <row r="184" spans="1:124" ht="15" customHeight="1">
      <c r="A184" s="14"/>
      <c r="B184" s="14"/>
      <c r="C184" s="14"/>
      <c r="D184" s="14"/>
      <c r="E184" s="14"/>
      <c r="F184" s="14"/>
      <c r="G184" s="14"/>
      <c r="H184" s="14"/>
      <c r="I184" s="14"/>
      <c r="J184" s="14"/>
      <c r="K184" s="14"/>
      <c r="L184" s="14"/>
      <c r="M184" s="14"/>
      <c r="N184" s="14"/>
      <c r="O184" s="14"/>
      <c r="P184" s="46"/>
      <c r="AA184" s="3">
        <f>LEN(AB184)</f>
        <v>163</v>
      </c>
      <c r="AB184" s="3" t="s">
        <v>56</v>
      </c>
      <c r="BH184" s="169"/>
      <c r="BI184" s="169"/>
      <c r="BJ184" s="169"/>
      <c r="BK184" s="169"/>
      <c r="BL184" s="169"/>
      <c r="BM184" s="169"/>
      <c r="BN184" s="169"/>
      <c r="BO184" s="169"/>
      <c r="BP184" s="169"/>
      <c r="BQ184" s="169"/>
      <c r="BR184" s="110"/>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row>
    <row r="185" spans="1:124" ht="15" customHeight="1">
      <c r="A185" s="14"/>
      <c r="B185" s="14"/>
      <c r="C185" s="14"/>
      <c r="D185" s="14"/>
      <c r="E185" s="14"/>
      <c r="F185" s="14"/>
      <c r="G185" s="14"/>
      <c r="H185" s="14"/>
      <c r="I185" s="14"/>
      <c r="J185" s="14"/>
      <c r="K185" s="14"/>
      <c r="L185" s="14"/>
      <c r="M185" s="14"/>
      <c r="N185" s="14"/>
      <c r="O185" s="14"/>
      <c r="P185" s="46"/>
      <c r="AB185" s="3" t="str">
        <f>CONCATENATE(AB182," ",AB183," ",AB184)</f>
        <v>EUs malingsdirektiv (2004/42/EC) og forskrift om begrensning i bruk av helse- og miljøfarlige kjemikalier og andre produkter (produktforskriften) vedlegg VII til § 2-24 til § 2-26 om organiske forbindelser i maling- og lakkeringsprodukter bruker inndelingen over på maling og lakk. Vi ber om at samme inndeling av type (a, b, c,..., l) benyttes i kolonne 2 i tabellen der produktinformasjon deklareres.</v>
      </c>
      <c r="BH185" s="64" t="s">
        <v>29</v>
      </c>
      <c r="BI185" s="70"/>
      <c r="BJ185" s="70"/>
      <c r="BK185" s="70"/>
      <c r="BL185" s="70"/>
      <c r="BM185" s="70"/>
      <c r="BN185" s="70"/>
      <c r="BO185" s="70"/>
      <c r="BP185" s="65"/>
      <c r="BQ185" s="65"/>
      <c r="BR185" s="110"/>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row>
    <row r="186" spans="1:124" ht="15" customHeight="1">
      <c r="A186" s="14"/>
      <c r="B186" s="14"/>
      <c r="C186" s="14"/>
      <c r="D186" s="14"/>
      <c r="E186" s="14"/>
      <c r="F186" s="14"/>
      <c r="G186" s="14"/>
      <c r="H186" s="14"/>
      <c r="I186" s="14"/>
      <c r="J186" s="14"/>
      <c r="K186" s="14"/>
      <c r="L186" s="14"/>
      <c r="M186" s="14"/>
      <c r="N186" s="14"/>
      <c r="O186" s="14"/>
      <c r="P186" s="46"/>
      <c r="BH186" s="161" t="str">
        <f>IF(C71="","Oppgi handelsnavn!",C71)</f>
        <v>Oppgi handelsnavn!</v>
      </c>
      <c r="BI186" s="161"/>
      <c r="BJ186" s="161"/>
      <c r="BK186" s="161"/>
      <c r="BL186" s="161"/>
      <c r="BM186" s="161"/>
      <c r="BN186" s="161"/>
      <c r="BO186" s="161"/>
      <c r="BP186" s="71"/>
      <c r="BQ186" s="71"/>
      <c r="BR186" s="110"/>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row>
    <row r="187" spans="1:124" ht="15" customHeight="1">
      <c r="A187" s="14"/>
      <c r="B187" s="14"/>
      <c r="C187" s="14"/>
      <c r="D187" s="14"/>
      <c r="E187" s="14"/>
      <c r="F187" s="14"/>
      <c r="G187" s="14"/>
      <c r="H187" s="14"/>
      <c r="I187" s="14"/>
      <c r="J187" s="14"/>
      <c r="K187" s="14"/>
      <c r="L187" s="14"/>
      <c r="M187" s="14"/>
      <c r="N187" s="14"/>
      <c r="O187" s="14"/>
      <c r="P187" s="46"/>
      <c r="BH187" s="161"/>
      <c r="BI187" s="161"/>
      <c r="BJ187" s="161"/>
      <c r="BK187" s="161"/>
      <c r="BL187" s="161"/>
      <c r="BM187" s="161"/>
      <c r="BN187" s="161"/>
      <c r="BO187" s="161"/>
      <c r="BP187" s="72"/>
      <c r="BQ187" s="72"/>
      <c r="BR187" s="62"/>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row>
    <row r="188" spans="1:124">
      <c r="A188" s="14"/>
      <c r="B188" s="14"/>
      <c r="C188" s="14"/>
      <c r="D188" s="14"/>
      <c r="E188" s="14"/>
      <c r="F188" s="14"/>
      <c r="G188" s="14"/>
      <c r="H188" s="14"/>
      <c r="I188" s="14"/>
      <c r="J188" s="14"/>
      <c r="K188" s="14"/>
      <c r="L188" s="14"/>
      <c r="M188" s="14"/>
      <c r="N188" s="14"/>
      <c r="O188" s="14"/>
      <c r="P188" s="46"/>
      <c r="AK188" s="3" t="s">
        <v>12</v>
      </c>
      <c r="AL188" s="3" t="s">
        <v>48</v>
      </c>
      <c r="BH188" s="167" t="str">
        <f>C79</f>
        <v/>
      </c>
      <c r="BI188" s="167"/>
      <c r="BJ188" s="167"/>
      <c r="BK188" s="167"/>
      <c r="BL188" s="168" t="str">
        <f>CONCATENATE(I79,"                ",J79)</f>
        <v xml:space="preserve">                </v>
      </c>
      <c r="BM188" s="168"/>
      <c r="BN188" s="168"/>
      <c r="BO188" s="73" t="s">
        <v>47</v>
      </c>
      <c r="BP188" s="74"/>
      <c r="BQ188" s="74"/>
      <c r="BR188" s="62"/>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row>
    <row r="189" spans="1:124" ht="15" customHeight="1">
      <c r="A189" s="14"/>
      <c r="B189" s="14"/>
      <c r="C189" s="14"/>
      <c r="D189" s="14"/>
      <c r="E189" s="14"/>
      <c r="F189" s="14"/>
      <c r="G189" s="14"/>
      <c r="H189" s="14"/>
      <c r="I189" s="14"/>
      <c r="J189" s="14"/>
      <c r="K189" s="14"/>
      <c r="L189" s="14"/>
      <c r="M189" s="14"/>
      <c r="N189" s="14"/>
      <c r="O189" s="14"/>
      <c r="P189" s="46"/>
      <c r="AI189" s="3" t="b">
        <f>IF(T57=TRUE,TRUE,FALSE)</f>
        <v>0</v>
      </c>
      <c r="AJ189" s="3" t="b">
        <f>IF(BH189="",FALSE,TRUE)</f>
        <v>0</v>
      </c>
      <c r="AK189" s="3" t="b">
        <f t="shared" ref="AK189:AK198" si="12">AND($AI$191,AJ189)</f>
        <v>0</v>
      </c>
      <c r="AL189" s="3" t="b">
        <f>AND($AI$190,AJ189)</f>
        <v>0</v>
      </c>
      <c r="BH189" s="135" t="str">
        <f>C80</f>
        <v/>
      </c>
      <c r="BI189" s="134" t="str">
        <f>$V$81</f>
        <v/>
      </c>
      <c r="BJ189" s="134"/>
      <c r="BK189" s="134"/>
      <c r="BL189" s="164" t="str">
        <f>$W$81</f>
        <v/>
      </c>
      <c r="BM189" s="164"/>
      <c r="BN189" s="162" t="str">
        <f>T82</f>
        <v/>
      </c>
      <c r="BO189" s="134" t="str">
        <f>IF(BH189="","",IF(L80="","",L80))</f>
        <v/>
      </c>
      <c r="BP189" s="134"/>
      <c r="BQ189" s="134"/>
      <c r="BR189" s="62"/>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row>
    <row r="190" spans="1:124" ht="17.25" customHeight="1">
      <c r="A190" s="14"/>
      <c r="B190" s="14"/>
      <c r="C190" s="14"/>
      <c r="D190" s="14"/>
      <c r="E190" s="14"/>
      <c r="F190" s="14"/>
      <c r="G190" s="14"/>
      <c r="H190" s="14"/>
      <c r="I190" s="14"/>
      <c r="J190" s="14"/>
      <c r="K190" s="14"/>
      <c r="L190" s="14"/>
      <c r="M190" s="14"/>
      <c r="N190" s="14"/>
      <c r="O190" s="14"/>
      <c r="P190" s="46"/>
      <c r="AI190" s="3" t="b">
        <f>IF(O46=2,TRUE,FALSE)</f>
        <v>0</v>
      </c>
      <c r="AJ190" s="3" t="b">
        <f>IF(BH191="",FALSE,TRUE)</f>
        <v>0</v>
      </c>
      <c r="AK190" s="3" t="b">
        <f t="shared" si="12"/>
        <v>0</v>
      </c>
      <c r="AL190" s="3" t="b">
        <f>AND($AI$190,AJ190)</f>
        <v>0</v>
      </c>
      <c r="BH190" s="135"/>
      <c r="BI190" s="134"/>
      <c r="BJ190" s="134"/>
      <c r="BK190" s="134"/>
      <c r="BL190" s="165"/>
      <c r="BM190" s="165"/>
      <c r="BN190" s="163"/>
      <c r="BO190" s="134"/>
      <c r="BP190" s="134"/>
      <c r="BQ190" s="134"/>
      <c r="BR190" s="62"/>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row>
    <row r="191" spans="1:124" ht="20.25" customHeight="1">
      <c r="A191" s="14"/>
      <c r="B191" s="14"/>
      <c r="C191" s="14"/>
      <c r="D191" s="14"/>
      <c r="E191" s="14"/>
      <c r="F191" s="14"/>
      <c r="G191" s="14"/>
      <c r="H191" s="14"/>
      <c r="I191" s="14"/>
      <c r="J191" s="14"/>
      <c r="K191" s="14"/>
      <c r="L191" s="14"/>
      <c r="M191" s="14"/>
      <c r="N191" s="14"/>
      <c r="O191" s="14"/>
      <c r="P191" s="46"/>
      <c r="AI191" s="3" t="b">
        <f>IF(O46=3,TRUE,FALSE)</f>
        <v>0</v>
      </c>
      <c r="AJ191" s="3" t="b">
        <f>IF(BH194="",FALSE,TRUE)</f>
        <v>0</v>
      </c>
      <c r="AK191" s="3" t="b">
        <f t="shared" si="12"/>
        <v>0</v>
      </c>
      <c r="AL191" s="3" t="b">
        <f>AND($AI$190,AJ191)</f>
        <v>0</v>
      </c>
      <c r="BH191" s="156" t="str">
        <f>C84</f>
        <v/>
      </c>
      <c r="BI191" s="134" t="str">
        <f>$Y$81</f>
        <v/>
      </c>
      <c r="BJ191" s="134"/>
      <c r="BK191" s="134"/>
      <c r="BL191" s="136" t="str">
        <f>Z81</f>
        <v/>
      </c>
      <c r="BM191" s="136"/>
      <c r="BN191" s="156" t="str">
        <f>T86</f>
        <v/>
      </c>
      <c r="BO191" s="157" t="str">
        <f>IF(BH191="","",IF(L84="","",L84))</f>
        <v/>
      </c>
      <c r="BP191" s="157"/>
      <c r="BQ191" s="157"/>
      <c r="BR191" s="62"/>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row>
    <row r="192" spans="1:124">
      <c r="A192" s="14"/>
      <c r="B192" s="14"/>
      <c r="C192" s="14"/>
      <c r="D192" s="14"/>
      <c r="E192" s="14"/>
      <c r="F192" s="14"/>
      <c r="G192" s="14"/>
      <c r="H192" s="14"/>
      <c r="I192" s="14"/>
      <c r="J192" s="14"/>
      <c r="K192" s="14"/>
      <c r="L192" s="14"/>
      <c r="M192" s="14"/>
      <c r="N192" s="14"/>
      <c r="O192" s="14"/>
      <c r="P192" s="46"/>
      <c r="AJ192" s="3" t="b">
        <f>IF(BH196="",FALSE,TRUE)</f>
        <v>0</v>
      </c>
      <c r="AK192" s="3" t="b">
        <f t="shared" si="12"/>
        <v>0</v>
      </c>
      <c r="AL192" s="3" t="b">
        <f>AND($AI$190,AJ192)</f>
        <v>0</v>
      </c>
      <c r="BH192" s="156"/>
      <c r="BI192" s="134"/>
      <c r="BJ192" s="134"/>
      <c r="BK192" s="134"/>
      <c r="BL192" s="136"/>
      <c r="BM192" s="136"/>
      <c r="BN192" s="156"/>
      <c r="BO192" s="157"/>
      <c r="BP192" s="157"/>
      <c r="BQ192" s="157"/>
      <c r="BR192" s="62"/>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row>
    <row r="193" spans="1:124" ht="22.5" customHeight="1">
      <c r="A193" s="14"/>
      <c r="B193" s="14"/>
      <c r="C193" s="14"/>
      <c r="D193" s="14"/>
      <c r="E193" s="14"/>
      <c r="F193" s="14"/>
      <c r="G193" s="14"/>
      <c r="H193" s="14"/>
      <c r="I193" s="14"/>
      <c r="J193" s="14"/>
      <c r="K193" s="14"/>
      <c r="L193" s="14"/>
      <c r="M193" s="14"/>
      <c r="N193" s="14"/>
      <c r="O193" s="14"/>
      <c r="P193" s="46"/>
      <c r="AJ193" s="3" t="b">
        <f>IF(BH200="",FALSE,TRUE)</f>
        <v>0</v>
      </c>
      <c r="AK193" s="3" t="b">
        <f t="shared" si="12"/>
        <v>0</v>
      </c>
      <c r="AL193" s="3" t="b">
        <f t="shared" ref="AL193:AL198" si="13">AND($AI$190,AJ193)</f>
        <v>0</v>
      </c>
      <c r="BH193" s="156"/>
      <c r="BI193" s="134"/>
      <c r="BJ193" s="134"/>
      <c r="BK193" s="134"/>
      <c r="BL193" s="136"/>
      <c r="BM193" s="136"/>
      <c r="BN193" s="156"/>
      <c r="BO193" s="157"/>
      <c r="BP193" s="157"/>
      <c r="BQ193" s="157"/>
      <c r="BR193" s="62"/>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row>
    <row r="194" spans="1:124">
      <c r="A194" s="14"/>
      <c r="B194" s="14"/>
      <c r="C194" s="14"/>
      <c r="D194" s="14"/>
      <c r="E194" s="14"/>
      <c r="F194" s="14"/>
      <c r="G194" s="14"/>
      <c r="H194" s="14"/>
      <c r="I194" s="14"/>
      <c r="J194" s="14"/>
      <c r="K194" s="14"/>
      <c r="L194" s="14"/>
      <c r="M194" s="14"/>
      <c r="N194" s="14"/>
      <c r="O194" s="14"/>
      <c r="P194" s="46"/>
      <c r="AJ194" s="3" t="b">
        <f>IF(BH202="",FALSE,TRUE)</f>
        <v>0</v>
      </c>
      <c r="AK194" s="3" t="b">
        <f t="shared" si="12"/>
        <v>0</v>
      </c>
      <c r="AL194" s="3" t="b">
        <f t="shared" si="13"/>
        <v>0</v>
      </c>
      <c r="BH194" s="135" t="str">
        <f>IF($T$57=TRUE,"Type:",C90)</f>
        <v/>
      </c>
      <c r="BI194" s="134" t="str">
        <f>IF(T57=TRUE,"Handelsnavn (Vannbasert/Løsemiddelbasert):",$AC$81)</f>
        <v/>
      </c>
      <c r="BJ194" s="134"/>
      <c r="BK194" s="134"/>
      <c r="BL194" s="136" t="str">
        <f>IF(T57=TRUE,"VOC-emisjoner 
etter 3 døgn:",AD81)</f>
        <v/>
      </c>
      <c r="BM194" s="136"/>
      <c r="BN194" s="135" t="str">
        <f>IF(T57=TRUE,"VOC-innhold:",T92)</f>
        <v/>
      </c>
      <c r="BO194" s="134" t="str">
        <f>IF(T57=TRUE,"Svanemerket 
eller EU-blomst:",IF(BH194="","",IF(L90="","",L90)))</f>
        <v/>
      </c>
      <c r="BP194" s="134"/>
      <c r="BQ194" s="134"/>
      <c r="BR194" s="62"/>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row>
    <row r="195" spans="1:124">
      <c r="A195" s="14"/>
      <c r="B195" s="14"/>
      <c r="C195" s="14"/>
      <c r="D195" s="14"/>
      <c r="E195" s="14"/>
      <c r="F195" s="14"/>
      <c r="G195" s="14"/>
      <c r="H195" s="14"/>
      <c r="I195" s="14"/>
      <c r="J195" s="14"/>
      <c r="K195" s="14"/>
      <c r="L195" s="14"/>
      <c r="M195" s="14"/>
      <c r="N195" s="14"/>
      <c r="O195" s="14"/>
      <c r="P195" s="46"/>
      <c r="AJ195" s="3" t="b">
        <f>IF(BH204="",FALSE,TRUE)</f>
        <v>0</v>
      </c>
      <c r="AK195" s="3" t="b">
        <f t="shared" si="12"/>
        <v>0</v>
      </c>
      <c r="AL195" s="3" t="b">
        <f t="shared" si="13"/>
        <v>0</v>
      </c>
      <c r="BH195" s="135"/>
      <c r="BI195" s="134"/>
      <c r="BJ195" s="134"/>
      <c r="BK195" s="134"/>
      <c r="BL195" s="136"/>
      <c r="BM195" s="136"/>
      <c r="BN195" s="135"/>
      <c r="BO195" s="134"/>
      <c r="BP195" s="134"/>
      <c r="BQ195" s="134"/>
      <c r="BR195" s="62"/>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row>
    <row r="196" spans="1:124" ht="15" customHeight="1">
      <c r="A196" s="14"/>
      <c r="B196" s="14"/>
      <c r="C196" s="14"/>
      <c r="D196" s="14"/>
      <c r="E196" s="14"/>
      <c r="F196" s="14"/>
      <c r="G196" s="14"/>
      <c r="H196" s="14"/>
      <c r="I196" s="14"/>
      <c r="J196" s="14"/>
      <c r="K196" s="14"/>
      <c r="L196" s="14"/>
      <c r="M196" s="14"/>
      <c r="N196" s="14"/>
      <c r="O196" s="14"/>
      <c r="P196" s="46"/>
      <c r="AJ196" s="3" t="b">
        <f>IF(BH207="",FALSE,TRUE)</f>
        <v>0</v>
      </c>
      <c r="AK196" s="3" t="b">
        <f t="shared" si="12"/>
        <v>0</v>
      </c>
      <c r="AL196" s="3" t="b">
        <f t="shared" si="13"/>
        <v>0</v>
      </c>
      <c r="BH196" s="135" t="str">
        <f>IF(AT198=TRUE,AI162,C94)</f>
        <v/>
      </c>
      <c r="BI196" s="134" t="str">
        <f>IF(AX198=TRUE,AJ162,AF81)</f>
        <v/>
      </c>
      <c r="BJ196" s="134"/>
      <c r="BK196" s="134"/>
      <c r="BL196" s="136" t="str">
        <f>IF($T$57=TRUE,AK162,AG81)</f>
        <v/>
      </c>
      <c r="BM196" s="136"/>
      <c r="BN196" s="135" t="str">
        <f>IF(BB198=TRUE,AL162,T98)</f>
        <v/>
      </c>
      <c r="BO196" s="136" t="str">
        <f>IF(BF198=TRUE,AM162,IF(BH196="","",IF(L94="","",L94)))</f>
        <v/>
      </c>
      <c r="BP196" s="136"/>
      <c r="BQ196" s="136"/>
      <c r="BR196" s="62"/>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row>
    <row r="197" spans="1:124">
      <c r="A197" s="14"/>
      <c r="B197" s="14"/>
      <c r="C197" s="14"/>
      <c r="D197" s="14"/>
      <c r="E197" s="14"/>
      <c r="F197" s="14"/>
      <c r="G197" s="14"/>
      <c r="H197" s="14"/>
      <c r="I197" s="14"/>
      <c r="J197" s="14"/>
      <c r="K197" s="14"/>
      <c r="L197" s="14"/>
      <c r="M197" s="14"/>
      <c r="N197" s="14"/>
      <c r="O197" s="14"/>
      <c r="P197" s="46"/>
      <c r="AJ197" s="3" t="b">
        <f>IF(BH209="",FALSE,TRUE)</f>
        <v>0</v>
      </c>
      <c r="AK197" s="3" t="b">
        <f t="shared" si="12"/>
        <v>0</v>
      </c>
      <c r="AL197" s="3" t="b">
        <f t="shared" si="13"/>
        <v>0</v>
      </c>
      <c r="AM197" s="11"/>
      <c r="AN197" s="11"/>
      <c r="BH197" s="135"/>
      <c r="BI197" s="134"/>
      <c r="BJ197" s="134"/>
      <c r="BK197" s="134"/>
      <c r="BL197" s="136"/>
      <c r="BM197" s="136"/>
      <c r="BN197" s="135"/>
      <c r="BO197" s="136"/>
      <c r="BP197" s="136"/>
      <c r="BQ197" s="136"/>
      <c r="BR197" s="62"/>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row>
    <row r="198" spans="1:124">
      <c r="A198" s="14"/>
      <c r="B198" s="14"/>
      <c r="C198" s="14"/>
      <c r="D198" s="14"/>
      <c r="E198" s="14"/>
      <c r="F198" s="14"/>
      <c r="G198" s="14"/>
      <c r="H198" s="14"/>
      <c r="I198" s="14"/>
      <c r="J198" s="14"/>
      <c r="K198" s="14"/>
      <c r="L198" s="14"/>
      <c r="M198" s="14"/>
      <c r="N198" s="14"/>
      <c r="O198" s="14"/>
      <c r="P198" s="46"/>
      <c r="AJ198" s="3" t="b">
        <f>IF(BH211="",FALSE,TRUE)</f>
        <v>0</v>
      </c>
      <c r="AK198" s="3" t="b">
        <f t="shared" si="12"/>
        <v>0</v>
      </c>
      <c r="AL198" s="3" t="b">
        <f t="shared" si="13"/>
        <v>0</v>
      </c>
      <c r="AM198" s="11"/>
      <c r="AN198" s="11"/>
      <c r="AR198" s="3" t="b">
        <f>IF(E148="",FALSE,TRUE)</f>
        <v>0</v>
      </c>
      <c r="AS198" s="3" t="b">
        <f>IF($T$57=TRUE,TRUE)</f>
        <v>0</v>
      </c>
      <c r="AT198" s="12" t="b">
        <f>AND(AR198:AS198)</f>
        <v>0</v>
      </c>
      <c r="AV198" s="3" t="b">
        <f>IF(C148="",FALSE,TRUE)</f>
        <v>0</v>
      </c>
      <c r="AW198" s="3" t="b">
        <f>IF($T$57=TRUE,TRUE)</f>
        <v>0</v>
      </c>
      <c r="AX198" s="12" t="b">
        <f>AND(AV198:AW198)</f>
        <v>0</v>
      </c>
      <c r="AZ198" s="3" t="b">
        <f>IF(AL162="",FALSE,TRUE)</f>
        <v>1</v>
      </c>
      <c r="BA198" s="3" t="b">
        <f>IF($T$57=TRUE,TRUE)</f>
        <v>0</v>
      </c>
      <c r="BB198" s="12" t="b">
        <f>AND(AZ198:BA198)</f>
        <v>0</v>
      </c>
      <c r="BD198" s="3" t="b">
        <f>IF(L148="",FALSE,TRUE)</f>
        <v>0</v>
      </c>
      <c r="BE198" s="3" t="b">
        <f>IF($T$57=TRUE,TRUE)</f>
        <v>0</v>
      </c>
      <c r="BF198" s="12" t="b">
        <f>AND(BD198:BE198)</f>
        <v>0</v>
      </c>
      <c r="BH198" s="135"/>
      <c r="BI198" s="134"/>
      <c r="BJ198" s="134"/>
      <c r="BK198" s="134"/>
      <c r="BL198" s="136"/>
      <c r="BM198" s="136"/>
      <c r="BN198" s="135"/>
      <c r="BO198" s="136"/>
      <c r="BP198" s="136"/>
      <c r="BQ198" s="136"/>
      <c r="BR198" s="62"/>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row>
    <row r="199" spans="1:124" ht="22.5" customHeight="1">
      <c r="A199" s="14"/>
      <c r="B199" s="14"/>
      <c r="C199" s="14"/>
      <c r="D199" s="14"/>
      <c r="E199" s="14"/>
      <c r="F199" s="14"/>
      <c r="G199" s="14"/>
      <c r="H199" s="14"/>
      <c r="I199" s="14"/>
      <c r="J199" s="14"/>
      <c r="K199" s="14"/>
      <c r="L199" s="14"/>
      <c r="M199" s="14"/>
      <c r="N199" s="14"/>
      <c r="O199" s="14"/>
      <c r="P199" s="46"/>
      <c r="AL199" s="11"/>
      <c r="AM199" s="11"/>
      <c r="AN199" s="11"/>
      <c r="BH199" s="135"/>
      <c r="BI199" s="134"/>
      <c r="BJ199" s="134"/>
      <c r="BK199" s="134"/>
      <c r="BL199" s="136"/>
      <c r="BM199" s="136"/>
      <c r="BN199" s="135"/>
      <c r="BO199" s="136"/>
      <c r="BP199" s="136"/>
      <c r="BQ199" s="136"/>
      <c r="BR199" s="62"/>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row>
    <row r="200" spans="1:124">
      <c r="A200" s="14"/>
      <c r="B200" s="14"/>
      <c r="C200" s="14"/>
      <c r="D200" s="14"/>
      <c r="E200" s="14"/>
      <c r="F200" s="14"/>
      <c r="G200" s="14"/>
      <c r="H200" s="14"/>
      <c r="I200" s="14"/>
      <c r="J200" s="14"/>
      <c r="K200" s="14"/>
      <c r="L200" s="14"/>
      <c r="M200" s="14"/>
      <c r="N200" s="14"/>
      <c r="O200" s="14"/>
      <c r="P200" s="46"/>
      <c r="AK200" s="8"/>
      <c r="AL200" s="11"/>
      <c r="AM200" s="11"/>
      <c r="AN200" s="11"/>
      <c r="BH200" s="135" t="str">
        <f>IF(AT201=TRUE,E151,C101)</f>
        <v/>
      </c>
      <c r="BI200" s="134" t="str">
        <f>IF(AX201=TRUE,C151&amp;" ("&amp;Z159&amp;")",AI81)</f>
        <v/>
      </c>
      <c r="BJ200" s="134"/>
      <c r="BK200" s="134"/>
      <c r="BL200" s="136" t="str">
        <f>IF($T$57=TRUE,J151&amp;" "&amp;K151,AJ81)</f>
        <v/>
      </c>
      <c r="BM200" s="136"/>
      <c r="BN200" s="135" t="str">
        <f>IF(BB201=TRUE,W159,T102)</f>
        <v/>
      </c>
      <c r="BO200" s="136" t="str">
        <f>IF(BF201=TRUE,L151,IF(BH200="","",IF(L101="","",L101)))</f>
        <v/>
      </c>
      <c r="BP200" s="136"/>
      <c r="BQ200" s="136"/>
      <c r="BR200" s="62"/>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row>
    <row r="201" spans="1:124" ht="19.5" customHeight="1">
      <c r="A201" s="14"/>
      <c r="B201" s="14"/>
      <c r="C201" s="14"/>
      <c r="D201" s="14"/>
      <c r="E201" s="14"/>
      <c r="F201" s="14"/>
      <c r="G201" s="14"/>
      <c r="H201" s="14"/>
      <c r="I201" s="14"/>
      <c r="J201" s="14"/>
      <c r="K201" s="14"/>
      <c r="L201" s="14"/>
      <c r="M201" s="14"/>
      <c r="N201" s="14"/>
      <c r="O201" s="14"/>
      <c r="P201" s="46"/>
      <c r="AK201" s="8"/>
      <c r="AL201" s="11"/>
      <c r="AM201" s="11"/>
      <c r="AN201" s="11"/>
      <c r="AR201" s="3" t="b">
        <f>IF(E151="",FALSE,TRUE)</f>
        <v>0</v>
      </c>
      <c r="AS201" s="3" t="b">
        <f>IF($T$57=TRUE,TRUE)</f>
        <v>0</v>
      </c>
      <c r="AT201" s="12" t="b">
        <f>AND(AR201:AS201)</f>
        <v>0</v>
      </c>
      <c r="AV201" s="3" t="b">
        <f>IF(C151="",FALSE,TRUE)</f>
        <v>0</v>
      </c>
      <c r="AW201" s="3" t="b">
        <f>IF($T$57=TRUE,TRUE)</f>
        <v>0</v>
      </c>
      <c r="AX201" s="12" t="b">
        <f>AND(AV201:AW201)</f>
        <v>0</v>
      </c>
      <c r="AZ201" s="3" t="b">
        <f>IF(AL163="",FALSE,TRUE)</f>
        <v>1</v>
      </c>
      <c r="BA201" s="3" t="b">
        <f>IF($T$57=TRUE,TRUE)</f>
        <v>0</v>
      </c>
      <c r="BB201" s="12" t="b">
        <f>AND(AZ201:BA201)</f>
        <v>0</v>
      </c>
      <c r="BD201" s="3" t="b">
        <f>IF(L151="",FALSE,TRUE)</f>
        <v>0</v>
      </c>
      <c r="BE201" s="3" t="b">
        <f>IF($T$57=TRUE,TRUE)</f>
        <v>0</v>
      </c>
      <c r="BF201" s="12" t="b">
        <f>AND(BD201:BE201)</f>
        <v>0</v>
      </c>
      <c r="BH201" s="135"/>
      <c r="BI201" s="134"/>
      <c r="BJ201" s="134"/>
      <c r="BK201" s="134"/>
      <c r="BL201" s="136"/>
      <c r="BM201" s="136"/>
      <c r="BN201" s="135"/>
      <c r="BO201" s="136"/>
      <c r="BP201" s="136"/>
      <c r="BQ201" s="136"/>
      <c r="BR201" s="62"/>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row>
    <row r="202" spans="1:124">
      <c r="A202" s="14"/>
      <c r="B202" s="14"/>
      <c r="C202" s="14"/>
      <c r="D202" s="14"/>
      <c r="E202" s="14"/>
      <c r="F202" s="14"/>
      <c r="G202" s="14"/>
      <c r="H202" s="14"/>
      <c r="I202" s="14"/>
      <c r="J202" s="14"/>
      <c r="K202" s="14"/>
      <c r="L202" s="14"/>
      <c r="M202" s="14"/>
      <c r="N202" s="14"/>
      <c r="O202" s="14"/>
      <c r="P202" s="46"/>
      <c r="AK202" s="8"/>
      <c r="AL202" s="11"/>
      <c r="AM202" s="11"/>
      <c r="AN202" s="11"/>
      <c r="BH202" s="135" t="str">
        <f>IF(AT203=TRUE,E152,C106)</f>
        <v/>
      </c>
      <c r="BI202" s="134" t="str">
        <f>IF(AX203=TRUE,C152&amp;" ("&amp;Z160&amp;")",AL81)</f>
        <v/>
      </c>
      <c r="BJ202" s="134"/>
      <c r="BK202" s="134"/>
      <c r="BL202" s="136" t="str">
        <f>IF($T$57=TRUE,J152&amp;" "&amp;K152,AM81)</f>
        <v/>
      </c>
      <c r="BM202" s="136"/>
      <c r="BN202" s="135" t="str">
        <f>IF(BB203=TRUE,W160,T107)</f>
        <v/>
      </c>
      <c r="BO202" s="136" t="str">
        <f>IF(BF203=TRUE,L152,IF(BH202="","",IF(L106="","",L106)))</f>
        <v/>
      </c>
      <c r="BP202" s="136"/>
      <c r="BQ202" s="136"/>
      <c r="BR202" s="62"/>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row>
    <row r="203" spans="1:124" ht="20.25" customHeight="1">
      <c r="A203" s="14"/>
      <c r="B203" s="14"/>
      <c r="C203" s="14"/>
      <c r="D203" s="14"/>
      <c r="E203" s="14"/>
      <c r="F203" s="14"/>
      <c r="G203" s="14"/>
      <c r="H203" s="14"/>
      <c r="I203" s="14"/>
      <c r="J203" s="14"/>
      <c r="K203" s="14"/>
      <c r="L203" s="14"/>
      <c r="M203" s="14"/>
      <c r="N203" s="14"/>
      <c r="O203" s="14"/>
      <c r="P203" s="46"/>
      <c r="AK203" s="8"/>
      <c r="AR203" s="3" t="b">
        <f>IF(E152="",FALSE,TRUE)</f>
        <v>0</v>
      </c>
      <c r="AS203" s="3" t="b">
        <f>IF($T$57=TRUE,TRUE)</f>
        <v>0</v>
      </c>
      <c r="AT203" s="12" t="b">
        <f>AND(AR203:AS203)</f>
        <v>0</v>
      </c>
      <c r="AV203" s="3" t="b">
        <f>IF(C152="",FALSE,TRUE)</f>
        <v>0</v>
      </c>
      <c r="AW203" s="3" t="b">
        <f>IF($T$57=TRUE,TRUE)</f>
        <v>0</v>
      </c>
      <c r="AX203" s="12" t="b">
        <f>AND(AV203:AW203)</f>
        <v>0</v>
      </c>
      <c r="AZ203" s="3" t="b">
        <f>IF(W160="",FALSE,TRUE)</f>
        <v>0</v>
      </c>
      <c r="BA203" s="3" t="b">
        <f>IF($T$57=TRUE,TRUE)</f>
        <v>0</v>
      </c>
      <c r="BB203" s="12" t="b">
        <f>AND(AZ203:BA203)</f>
        <v>0</v>
      </c>
      <c r="BD203" s="3" t="b">
        <f>IF(L152="",FALSE,TRUE)</f>
        <v>0</v>
      </c>
      <c r="BE203" s="3" t="b">
        <f>IF($T$57=TRUE,TRUE)</f>
        <v>0</v>
      </c>
      <c r="BF203" s="12" t="b">
        <f>AND(BD203:BE203)</f>
        <v>0</v>
      </c>
      <c r="BH203" s="135"/>
      <c r="BI203" s="134"/>
      <c r="BJ203" s="134"/>
      <c r="BK203" s="134"/>
      <c r="BL203" s="136"/>
      <c r="BM203" s="136"/>
      <c r="BN203" s="135"/>
      <c r="BO203" s="136"/>
      <c r="BP203" s="136"/>
      <c r="BQ203" s="136"/>
      <c r="BR203" s="62"/>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row>
    <row r="204" spans="1:124" ht="15" customHeight="1">
      <c r="A204" s="14"/>
      <c r="B204" s="14"/>
      <c r="C204" s="14"/>
      <c r="D204" s="14"/>
      <c r="E204" s="14"/>
      <c r="F204" s="14"/>
      <c r="G204" s="14"/>
      <c r="H204" s="14"/>
      <c r="I204" s="14"/>
      <c r="J204" s="14"/>
      <c r="K204" s="14"/>
      <c r="L204" s="14"/>
      <c r="M204" s="14"/>
      <c r="N204" s="14"/>
      <c r="O204" s="14"/>
      <c r="P204" s="46"/>
      <c r="BH204" s="135" t="str">
        <f>IF(AT205=TRUE,AI163,C111)</f>
        <v/>
      </c>
      <c r="BI204" s="134" t="str">
        <f>IF(AX205=TRUE,AJ163,AO81)</f>
        <v/>
      </c>
      <c r="BJ204" s="134"/>
      <c r="BK204" s="134"/>
      <c r="BL204" s="136" t="str">
        <f>IF($T$57=TRUE,AK163,AP81)</f>
        <v/>
      </c>
      <c r="BM204" s="136"/>
      <c r="BN204" s="135" t="str">
        <f>IF(BB205=TRUE,AL163,T112)</f>
        <v/>
      </c>
      <c r="BO204" s="136" t="str">
        <f>IF(BF205=TRUE,AM163,IF(BH204="","",IF(L111="","",L111)))</f>
        <v/>
      </c>
      <c r="BP204" s="136"/>
      <c r="BQ204" s="136"/>
      <c r="BR204" s="62"/>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row>
    <row r="205" spans="1:124" ht="12" customHeight="1">
      <c r="A205" s="14"/>
      <c r="B205" s="14"/>
      <c r="C205" s="14"/>
      <c r="D205" s="14"/>
      <c r="E205" s="14"/>
      <c r="F205" s="14"/>
      <c r="G205" s="14"/>
      <c r="H205" s="14"/>
      <c r="I205" s="14"/>
      <c r="J205" s="14"/>
      <c r="K205" s="14"/>
      <c r="L205" s="14"/>
      <c r="M205" s="14"/>
      <c r="N205" s="14"/>
      <c r="O205" s="14"/>
      <c r="P205" s="46"/>
      <c r="AJ205" s="8"/>
      <c r="AR205" s="3" t="b">
        <f>IF(E153="",FALSE,TRUE)</f>
        <v>0</v>
      </c>
      <c r="AS205" s="3" t="b">
        <f>IF($T$57=TRUE,TRUE)</f>
        <v>0</v>
      </c>
      <c r="AT205" s="12" t="b">
        <f>AND(AR205:AS205)</f>
        <v>0</v>
      </c>
      <c r="AV205" s="3" t="b">
        <f>IF(C153="",FALSE,TRUE)</f>
        <v>0</v>
      </c>
      <c r="AW205" s="3" t="b">
        <f>IF($T$57=TRUE,TRUE)</f>
        <v>0</v>
      </c>
      <c r="AX205" s="12" t="b">
        <f>AND(AV205:AW205)</f>
        <v>0</v>
      </c>
      <c r="AZ205" s="3" t="b">
        <f>IF(W161="",FALSE,TRUE)</f>
        <v>0</v>
      </c>
      <c r="BA205" s="3" t="b">
        <f>IF($T$57=TRUE,TRUE)</f>
        <v>0</v>
      </c>
      <c r="BB205" s="12" t="b">
        <f>AND(AZ205:BA205)</f>
        <v>0</v>
      </c>
      <c r="BD205" s="3" t="b">
        <f>IF(L153="",FALSE,TRUE)</f>
        <v>0</v>
      </c>
      <c r="BE205" s="3" t="b">
        <f>IF($T$57=TRUE,TRUE)</f>
        <v>0</v>
      </c>
      <c r="BF205" s="12" t="b">
        <f>AND(BD205:BE205)</f>
        <v>0</v>
      </c>
      <c r="BH205" s="135"/>
      <c r="BI205" s="134"/>
      <c r="BJ205" s="134"/>
      <c r="BK205" s="134"/>
      <c r="BL205" s="136"/>
      <c r="BM205" s="136"/>
      <c r="BN205" s="135"/>
      <c r="BO205" s="136"/>
      <c r="BP205" s="136"/>
      <c r="BQ205" s="136"/>
      <c r="BR205" s="62"/>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row>
    <row r="206" spans="1:124" ht="10.5" customHeight="1">
      <c r="A206" s="14"/>
      <c r="B206" s="14"/>
      <c r="C206" s="14"/>
      <c r="D206" s="14"/>
      <c r="E206" s="14"/>
      <c r="F206" s="14"/>
      <c r="G206" s="14"/>
      <c r="H206" s="14"/>
      <c r="I206" s="14"/>
      <c r="J206" s="14"/>
      <c r="K206" s="14"/>
      <c r="L206" s="14"/>
      <c r="M206" s="14"/>
      <c r="N206" s="14"/>
      <c r="O206" s="14"/>
      <c r="P206" s="46"/>
      <c r="AJ206" s="8"/>
      <c r="AK206" s="8"/>
      <c r="AL206" s="11"/>
      <c r="AM206" s="11"/>
      <c r="AN206" s="11"/>
      <c r="BH206" s="135"/>
      <c r="BI206" s="134"/>
      <c r="BJ206" s="134"/>
      <c r="BK206" s="134"/>
      <c r="BL206" s="136"/>
      <c r="BM206" s="136"/>
      <c r="BN206" s="135"/>
      <c r="BO206" s="136"/>
      <c r="BP206" s="136"/>
      <c r="BQ206" s="136"/>
      <c r="BR206" s="62"/>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row>
    <row r="207" spans="1:124">
      <c r="A207" s="14"/>
      <c r="B207" s="14"/>
      <c r="C207" s="14"/>
      <c r="D207" s="14"/>
      <c r="E207" s="14"/>
      <c r="F207" s="14"/>
      <c r="G207" s="14"/>
      <c r="H207" s="14"/>
      <c r="I207" s="14"/>
      <c r="J207" s="14"/>
      <c r="K207" s="14"/>
      <c r="L207" s="14"/>
      <c r="M207" s="14"/>
      <c r="N207" s="14"/>
      <c r="O207" s="14"/>
      <c r="P207" s="46"/>
      <c r="AK207" s="8"/>
      <c r="AL207" s="11"/>
      <c r="AM207" s="11"/>
      <c r="AN207" s="11"/>
      <c r="BH207" s="135" t="str">
        <f>IF(AT208=TRUE,E155,C116)</f>
        <v/>
      </c>
      <c r="BI207" s="134" t="str">
        <f>IF(AX208=TRUE,C155&amp;" ("&amp;Z163&amp;")",AR81)</f>
        <v/>
      </c>
      <c r="BJ207" s="134"/>
      <c r="BK207" s="134"/>
      <c r="BL207" s="136" t="str">
        <f>IF(Y163=FALSE,"",IF($T$57=TRUE,J155&amp;" "&amp;K155,AS81))</f>
        <v/>
      </c>
      <c r="BM207" s="136"/>
      <c r="BN207" s="135" t="str">
        <f>IF(BB208=TRUE,W163,T117)</f>
        <v/>
      </c>
      <c r="BO207" s="136" t="str">
        <f>IF(BF208=TRUE,L155,IF(BH207="","",IF(L116="","",L116)))</f>
        <v/>
      </c>
      <c r="BP207" s="136"/>
      <c r="BQ207" s="136"/>
      <c r="BR207" s="62"/>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row>
    <row r="208" spans="1:124" ht="18.75" customHeight="1">
      <c r="A208" s="14"/>
      <c r="B208" s="14"/>
      <c r="C208" s="14"/>
      <c r="D208" s="14"/>
      <c r="E208" s="14"/>
      <c r="F208" s="14"/>
      <c r="G208" s="14"/>
      <c r="H208" s="14"/>
      <c r="I208" s="14"/>
      <c r="J208" s="14"/>
      <c r="K208" s="14"/>
      <c r="L208" s="14"/>
      <c r="M208" s="14"/>
      <c r="N208" s="14"/>
      <c r="O208" s="14"/>
      <c r="P208" s="46"/>
      <c r="AK208" s="8"/>
      <c r="AL208" s="11"/>
      <c r="AM208" s="11"/>
      <c r="AN208" s="11"/>
      <c r="AR208" s="3" t="b">
        <f>IF(E155="",FALSE,TRUE)</f>
        <v>0</v>
      </c>
      <c r="AS208" s="3" t="b">
        <f>IF($T$57=TRUE,TRUE)</f>
        <v>0</v>
      </c>
      <c r="AT208" s="12" t="b">
        <f>AND(AR208:AS208)</f>
        <v>0</v>
      </c>
      <c r="AV208" s="3" t="b">
        <f>IF(C155="",FALSE,TRUE)</f>
        <v>0</v>
      </c>
      <c r="AW208" s="3" t="b">
        <f>IF($T$57=TRUE,TRUE)</f>
        <v>0</v>
      </c>
      <c r="AX208" s="12" t="b">
        <f>AND(AV208:AW208)</f>
        <v>0</v>
      </c>
      <c r="AZ208" s="3" t="b">
        <f>IF(W163="",FALSE,TRUE)</f>
        <v>0</v>
      </c>
      <c r="BA208" s="3" t="b">
        <f>IF($T$57=TRUE,TRUE)</f>
        <v>0</v>
      </c>
      <c r="BB208" s="12" t="b">
        <f>AND(AZ208:BA208)</f>
        <v>0</v>
      </c>
      <c r="BD208" s="3" t="b">
        <f>IF(L155="",FALSE,TRUE)</f>
        <v>0</v>
      </c>
      <c r="BE208" s="3" t="b">
        <f>IF($T$57=TRUE,TRUE)</f>
        <v>0</v>
      </c>
      <c r="BF208" s="12" t="b">
        <f>AND(BD208:BE208)</f>
        <v>0</v>
      </c>
      <c r="BH208" s="135"/>
      <c r="BI208" s="134"/>
      <c r="BJ208" s="134"/>
      <c r="BK208" s="134"/>
      <c r="BL208" s="136"/>
      <c r="BM208" s="136"/>
      <c r="BN208" s="135"/>
      <c r="BO208" s="136"/>
      <c r="BP208" s="136"/>
      <c r="BQ208" s="136"/>
      <c r="BR208" s="62"/>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row>
    <row r="209" spans="1:124">
      <c r="A209" s="14"/>
      <c r="B209" s="14"/>
      <c r="C209" s="14"/>
      <c r="D209" s="14"/>
      <c r="E209" s="14"/>
      <c r="F209" s="14"/>
      <c r="G209" s="14"/>
      <c r="H209" s="14"/>
      <c r="I209" s="14"/>
      <c r="J209" s="14"/>
      <c r="K209" s="14"/>
      <c r="L209" s="14"/>
      <c r="M209" s="14"/>
      <c r="N209" s="14"/>
      <c r="O209" s="14"/>
      <c r="P209" s="46"/>
      <c r="AL209" s="11"/>
      <c r="AM209" s="11"/>
      <c r="AN209" s="11"/>
      <c r="BH209" s="135" t="str">
        <f>IF(AT210=TRUE,E156,C122)</f>
        <v/>
      </c>
      <c r="BI209" s="134" t="str">
        <f>IF(AX210=TRUE,C156&amp;" ("&amp;Z164&amp;")",AU81)</f>
        <v/>
      </c>
      <c r="BJ209" s="134"/>
      <c r="BK209" s="134"/>
      <c r="BL209" s="136" t="str">
        <f>IF(Y164=FALSE,"",IF($T$57=TRUE,J156&amp;" "&amp;K156,AV81))</f>
        <v/>
      </c>
      <c r="BM209" s="136"/>
      <c r="BN209" s="135" t="str">
        <f>IF(BB210=TRUE,W164,T123)</f>
        <v/>
      </c>
      <c r="BO209" s="136" t="str">
        <f>IF(BF210=TRUE,L156,IF(BH209="","",IF(L122="","",L122)))</f>
        <v/>
      </c>
      <c r="BP209" s="136"/>
      <c r="BQ209" s="136"/>
      <c r="BR209" s="62"/>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row>
    <row r="210" spans="1:124" ht="18.75" customHeight="1">
      <c r="A210" s="14"/>
      <c r="B210" s="14"/>
      <c r="C210" s="14"/>
      <c r="D210" s="14"/>
      <c r="E210" s="14"/>
      <c r="F210" s="14"/>
      <c r="G210" s="14"/>
      <c r="H210" s="14"/>
      <c r="I210" s="14"/>
      <c r="J210" s="14"/>
      <c r="K210" s="14"/>
      <c r="L210" s="14"/>
      <c r="M210" s="14"/>
      <c r="N210" s="14"/>
      <c r="O210" s="14"/>
      <c r="P210" s="46"/>
      <c r="AL210" s="11"/>
      <c r="AN210" s="11"/>
      <c r="AR210" s="3" t="b">
        <f>IF(E156="",FALSE,TRUE)</f>
        <v>0</v>
      </c>
      <c r="AS210" s="3" t="b">
        <f>IF($T$57=TRUE,TRUE)</f>
        <v>0</v>
      </c>
      <c r="AT210" s="12" t="b">
        <f>AND(AR210:AS210)</f>
        <v>0</v>
      </c>
      <c r="AV210" s="3" t="b">
        <f>IF(C156="",FALSE,TRUE)</f>
        <v>0</v>
      </c>
      <c r="AW210" s="3" t="b">
        <f>IF($T$57=TRUE,TRUE)</f>
        <v>0</v>
      </c>
      <c r="AX210" s="12" t="b">
        <f>AND(AV210:AW210)</f>
        <v>0</v>
      </c>
      <c r="AZ210" s="3" t="b">
        <f>IF(W164="",FALSE,TRUE)</f>
        <v>0</v>
      </c>
      <c r="BA210" s="3" t="b">
        <f>IF($T$57=TRUE,TRUE)</f>
        <v>0</v>
      </c>
      <c r="BB210" s="12" t="b">
        <f>AND(AZ210:BA210)</f>
        <v>0</v>
      </c>
      <c r="BD210" s="3" t="b">
        <f>IF(L156="",FALSE,TRUE)</f>
        <v>0</v>
      </c>
      <c r="BE210" s="3" t="b">
        <f>IF($T$57=TRUE,TRUE)</f>
        <v>0</v>
      </c>
      <c r="BF210" s="12" t="b">
        <f>AND(BD210:BE210)</f>
        <v>0</v>
      </c>
      <c r="BH210" s="135"/>
      <c r="BI210" s="134"/>
      <c r="BJ210" s="134"/>
      <c r="BK210" s="134"/>
      <c r="BL210" s="136"/>
      <c r="BM210" s="136"/>
      <c r="BN210" s="135"/>
      <c r="BO210" s="136"/>
      <c r="BP210" s="136"/>
      <c r="BQ210" s="136"/>
      <c r="BR210" s="62"/>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row>
    <row r="211" spans="1:124" ht="12.75" customHeight="1">
      <c r="A211" s="14"/>
      <c r="B211" s="14"/>
      <c r="C211" s="14"/>
      <c r="D211" s="14"/>
      <c r="E211" s="14"/>
      <c r="F211" s="14"/>
      <c r="G211" s="14"/>
      <c r="H211" s="14"/>
      <c r="I211" s="14"/>
      <c r="J211" s="14"/>
      <c r="K211" s="14"/>
      <c r="L211" s="14"/>
      <c r="M211" s="14"/>
      <c r="N211" s="14"/>
      <c r="O211" s="14"/>
      <c r="P211" s="46"/>
      <c r="AL211" s="11"/>
      <c r="BH211" s="135" t="str">
        <f>IF(AT212=TRUE,E157,C127)</f>
        <v/>
      </c>
      <c r="BI211" s="134" t="str">
        <f>IF(AX212=TRUE,C157&amp;" ("&amp;Z165&amp;")",AX81)</f>
        <v/>
      </c>
      <c r="BJ211" s="134"/>
      <c r="BK211" s="134"/>
      <c r="BL211" s="136" t="str">
        <f>IF(Y165=FALSE,"",IF($T$57=TRUE,J157&amp;" "&amp;K157,AY81))</f>
        <v/>
      </c>
      <c r="BM211" s="136"/>
      <c r="BN211" s="135" t="str">
        <f>IF(BB212=TRUE,W165,T128)</f>
        <v/>
      </c>
      <c r="BO211" s="136" t="str">
        <f>IF(BF212=TRUE,L157,IF(BH211="","",IF(L127="","",L127)))</f>
        <v/>
      </c>
      <c r="BP211" s="136"/>
      <c r="BQ211" s="136"/>
      <c r="BR211" s="62"/>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row>
    <row r="212" spans="1:124">
      <c r="A212" s="14"/>
      <c r="B212" s="14"/>
      <c r="C212" s="14"/>
      <c r="D212" s="14"/>
      <c r="E212" s="14"/>
      <c r="F212" s="14"/>
      <c r="G212" s="14"/>
      <c r="H212" s="14"/>
      <c r="I212" s="14"/>
      <c r="J212" s="14"/>
      <c r="K212" s="14"/>
      <c r="L212" s="14"/>
      <c r="M212" s="14"/>
      <c r="N212" s="14"/>
      <c r="O212" s="14"/>
      <c r="P212" s="46"/>
      <c r="AR212" s="3" t="b">
        <f>IF(E157="",FALSE,TRUE)</f>
        <v>0</v>
      </c>
      <c r="AS212" s="3" t="b">
        <f>IF($T$57=TRUE,TRUE)</f>
        <v>0</v>
      </c>
      <c r="AT212" s="12" t="b">
        <f>AND(AR212:AS212)</f>
        <v>0</v>
      </c>
      <c r="AV212" s="3" t="b">
        <f>IF(C157="",FALSE,TRUE)</f>
        <v>0</v>
      </c>
      <c r="AW212" s="3" t="b">
        <f>IF($T$57=TRUE,TRUE)</f>
        <v>0</v>
      </c>
      <c r="AX212" s="12" t="b">
        <f>AND(AV212:AW212)</f>
        <v>0</v>
      </c>
      <c r="AZ212" s="3" t="b">
        <f>IF(W165="",FALSE,TRUE)</f>
        <v>0</v>
      </c>
      <c r="BA212" s="3" t="b">
        <f>IF($T$57=TRUE,TRUE)</f>
        <v>0</v>
      </c>
      <c r="BB212" s="12" t="b">
        <f>AND(AZ212:BA212)</f>
        <v>0</v>
      </c>
      <c r="BD212" s="3" t="b">
        <f>IF(L157="",FALSE,TRUE)</f>
        <v>0</v>
      </c>
      <c r="BE212" s="3" t="b">
        <f>IF($T$57=TRUE,TRUE)</f>
        <v>0</v>
      </c>
      <c r="BF212" s="12" t="b">
        <f>AND(BD212:BE212)</f>
        <v>0</v>
      </c>
      <c r="BH212" s="135"/>
      <c r="BI212" s="134"/>
      <c r="BJ212" s="134"/>
      <c r="BK212" s="134"/>
      <c r="BL212" s="136"/>
      <c r="BM212" s="136"/>
      <c r="BN212" s="135"/>
      <c r="BO212" s="136"/>
      <c r="BP212" s="136"/>
      <c r="BQ212" s="136"/>
      <c r="BR212" s="62"/>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row>
    <row r="213" spans="1:124">
      <c r="A213" s="14"/>
      <c r="B213" s="14"/>
      <c r="C213" s="14"/>
      <c r="D213" s="14"/>
      <c r="E213" s="14"/>
      <c r="F213" s="14"/>
      <c r="G213" s="14"/>
      <c r="H213" s="14"/>
      <c r="I213" s="14"/>
      <c r="J213" s="14"/>
      <c r="K213" s="14"/>
      <c r="L213" s="14"/>
      <c r="M213" s="14"/>
      <c r="N213" s="14"/>
      <c r="O213" s="14"/>
      <c r="P213" s="46"/>
      <c r="BH213" s="65"/>
      <c r="BI213" s="65"/>
      <c r="BJ213" s="65"/>
      <c r="BK213" s="65"/>
      <c r="BL213" s="65"/>
      <c r="BM213" s="65"/>
      <c r="BN213" s="65"/>
      <c r="BO213" s="65"/>
      <c r="BP213" s="65"/>
      <c r="BQ213" s="65"/>
      <c r="BR213" s="62"/>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row>
    <row r="214" spans="1:124">
      <c r="A214" s="14"/>
      <c r="B214" s="14"/>
      <c r="C214" s="14"/>
      <c r="D214" s="14"/>
      <c r="E214" s="14"/>
      <c r="F214" s="14"/>
      <c r="G214" s="14"/>
      <c r="H214" s="14"/>
      <c r="I214" s="14"/>
      <c r="J214" s="14"/>
      <c r="K214" s="14"/>
      <c r="L214" s="14"/>
      <c r="M214" s="14"/>
      <c r="N214" s="14"/>
      <c r="O214" s="14"/>
      <c r="P214" s="46"/>
      <c r="AR214" s="3" t="s">
        <v>51</v>
      </c>
      <c r="AV214" s="3" t="s">
        <v>52</v>
      </c>
      <c r="AZ214" s="3" t="s">
        <v>53</v>
      </c>
      <c r="BD214" s="3" t="s">
        <v>54</v>
      </c>
      <c r="BH214" s="155" t="str">
        <f>IF(R131=FALSE,"",R131)</f>
        <v/>
      </c>
      <c r="BI214" s="155"/>
      <c r="BJ214" s="155"/>
      <c r="BK214" s="155"/>
      <c r="BL214" s="155"/>
      <c r="BM214" s="155"/>
      <c r="BN214" s="155"/>
      <c r="BO214" s="155"/>
      <c r="BP214" s="155"/>
      <c r="BQ214" s="155"/>
      <c r="BR214" s="16"/>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row>
    <row r="215" spans="1:124">
      <c r="A215" s="14"/>
      <c r="B215" s="14"/>
      <c r="C215" s="14"/>
      <c r="D215" s="14"/>
      <c r="E215" s="14"/>
      <c r="F215" s="14"/>
      <c r="G215" s="14"/>
      <c r="H215" s="14"/>
      <c r="I215" s="14"/>
      <c r="J215" s="14"/>
      <c r="K215" s="14"/>
      <c r="L215" s="14"/>
      <c r="M215" s="14"/>
      <c r="N215" s="14"/>
      <c r="O215" s="14"/>
      <c r="P215" s="46"/>
      <c r="BH215" s="155"/>
      <c r="BI215" s="155"/>
      <c r="BJ215" s="155"/>
      <c r="BK215" s="155"/>
      <c r="BL215" s="155"/>
      <c r="BM215" s="155"/>
      <c r="BN215" s="155"/>
      <c r="BO215" s="155"/>
      <c r="BP215" s="155"/>
      <c r="BQ215" s="155"/>
      <c r="BR215" s="16"/>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row>
    <row r="216" spans="1:124" ht="15" customHeight="1">
      <c r="A216" s="14"/>
      <c r="B216" s="14"/>
      <c r="C216" s="14"/>
      <c r="D216" s="14"/>
      <c r="E216" s="14"/>
      <c r="F216" s="14"/>
      <c r="G216" s="14"/>
      <c r="H216" s="14"/>
      <c r="I216" s="14"/>
      <c r="J216" s="14"/>
      <c r="K216" s="14"/>
      <c r="L216" s="14"/>
      <c r="M216" s="14"/>
      <c r="N216" s="14"/>
      <c r="O216" s="14"/>
      <c r="P216" s="46"/>
      <c r="BH216" s="153" t="s">
        <v>30</v>
      </c>
      <c r="BI216" s="153"/>
      <c r="BJ216" s="153"/>
      <c r="BK216" s="153"/>
      <c r="BL216" s="153"/>
      <c r="BM216" s="153"/>
      <c r="BN216" s="153"/>
      <c r="BO216" s="153"/>
      <c r="BP216" s="153"/>
      <c r="BQ216" s="153"/>
      <c r="BR216" s="62"/>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row>
    <row r="217" spans="1:124">
      <c r="A217" s="14"/>
      <c r="B217" s="14"/>
      <c r="C217" s="14"/>
      <c r="D217" s="14"/>
      <c r="E217" s="14"/>
      <c r="F217" s="14"/>
      <c r="G217" s="14"/>
      <c r="H217" s="14"/>
      <c r="I217" s="14"/>
      <c r="J217" s="14"/>
      <c r="K217" s="14"/>
      <c r="L217" s="14"/>
      <c r="M217" s="14"/>
      <c r="N217" s="14"/>
      <c r="O217" s="14"/>
      <c r="P217" s="46"/>
      <c r="BH217" s="153"/>
      <c r="BI217" s="153"/>
      <c r="BJ217" s="153"/>
      <c r="BK217" s="153"/>
      <c r="BL217" s="153"/>
      <c r="BM217" s="153"/>
      <c r="BN217" s="153"/>
      <c r="BO217" s="153"/>
      <c r="BP217" s="153"/>
      <c r="BQ217" s="153"/>
      <c r="BR217" s="62"/>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row>
    <row r="218" spans="1:124">
      <c r="A218" s="14"/>
      <c r="B218" s="14"/>
      <c r="C218" s="14"/>
      <c r="D218" s="14"/>
      <c r="E218" s="14"/>
      <c r="F218" s="14"/>
      <c r="G218" s="14"/>
      <c r="H218" s="14"/>
      <c r="I218" s="14"/>
      <c r="J218" s="14"/>
      <c r="K218" s="14"/>
      <c r="L218" s="14"/>
      <c r="M218" s="14"/>
      <c r="N218" s="14"/>
      <c r="O218" s="14"/>
      <c r="P218" s="46"/>
      <c r="BH218" s="65"/>
      <c r="BI218" s="65"/>
      <c r="BJ218" s="65"/>
      <c r="BK218" s="75"/>
      <c r="BL218" s="65"/>
      <c r="BM218" s="76"/>
      <c r="BN218" s="76"/>
      <c r="BO218" s="76"/>
      <c r="BP218" s="76"/>
      <c r="BQ218" s="76"/>
      <c r="BR218" s="62"/>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row>
    <row r="219" spans="1:124">
      <c r="A219" s="14"/>
      <c r="B219" s="14"/>
      <c r="C219" s="14"/>
      <c r="D219" s="14"/>
      <c r="E219" s="14"/>
      <c r="F219" s="14"/>
      <c r="G219" s="14"/>
      <c r="H219" s="14"/>
      <c r="I219" s="14"/>
      <c r="J219" s="14"/>
      <c r="K219" s="14"/>
      <c r="L219" s="14"/>
      <c r="M219" s="14"/>
      <c r="N219" s="14"/>
      <c r="O219" s="14"/>
      <c r="P219" s="46"/>
      <c r="BH219" s="107" t="s">
        <v>19</v>
      </c>
      <c r="BI219" s="77">
        <f ca="1">NOW()</f>
        <v>44988.366946875001</v>
      </c>
      <c r="BJ219" s="78"/>
      <c r="BK219" s="15"/>
      <c r="BL219" s="75" t="s">
        <v>55</v>
      </c>
      <c r="BM219" s="76"/>
      <c r="BN219" s="76"/>
      <c r="BO219" s="76"/>
      <c r="BP219" s="76"/>
      <c r="BQ219" s="76"/>
      <c r="BR219" s="62"/>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row>
    <row r="220" spans="1:124">
      <c r="A220" s="14"/>
      <c r="B220" s="14"/>
      <c r="C220" s="14"/>
      <c r="D220" s="14"/>
      <c r="E220" s="14"/>
      <c r="F220" s="14"/>
      <c r="G220" s="14"/>
      <c r="H220" s="14"/>
      <c r="I220" s="14"/>
      <c r="J220" s="14"/>
      <c r="K220" s="14"/>
      <c r="L220" s="14"/>
      <c r="M220" s="14"/>
      <c r="N220" s="14"/>
      <c r="O220" s="14"/>
      <c r="P220" s="46"/>
      <c r="BH220" s="152"/>
      <c r="BI220" s="152"/>
      <c r="BJ220" s="65"/>
      <c r="BK220" s="76"/>
      <c r="BL220" s="76"/>
      <c r="BM220" s="76"/>
      <c r="BN220" s="76"/>
      <c r="BO220" s="76"/>
      <c r="BP220" s="76"/>
      <c r="BQ220" s="76"/>
      <c r="BR220" s="62"/>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row>
    <row r="221" spans="1:124">
      <c r="A221" s="14"/>
      <c r="B221" s="14"/>
      <c r="C221" s="14"/>
      <c r="D221" s="14"/>
      <c r="E221" s="14"/>
      <c r="F221" s="14"/>
      <c r="G221" s="14"/>
      <c r="H221" s="14"/>
      <c r="I221" s="14"/>
      <c r="J221" s="14"/>
      <c r="K221" s="14"/>
      <c r="L221" s="14"/>
      <c r="M221" s="14"/>
      <c r="N221" s="14"/>
      <c r="O221" s="14"/>
      <c r="P221" s="46"/>
      <c r="BH221" s="75"/>
      <c r="BI221" s="76"/>
      <c r="BJ221" s="65"/>
      <c r="BK221" s="65"/>
      <c r="BL221" s="15"/>
      <c r="BM221" s="65"/>
      <c r="BN221" s="65"/>
      <c r="BO221" s="65"/>
      <c r="BP221" s="65"/>
      <c r="BQ221" s="65"/>
      <c r="BR221" s="62"/>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row>
    <row r="222" spans="1:124">
      <c r="A222" s="14"/>
      <c r="B222" s="14"/>
      <c r="C222" s="14"/>
      <c r="D222" s="14"/>
      <c r="E222" s="14"/>
      <c r="F222" s="14"/>
      <c r="G222" s="14"/>
      <c r="H222" s="14"/>
      <c r="I222" s="14"/>
      <c r="J222" s="14"/>
      <c r="K222" s="14"/>
      <c r="L222" s="14"/>
      <c r="M222" s="14"/>
      <c r="N222" s="14"/>
      <c r="O222" s="14"/>
      <c r="P222" s="46"/>
      <c r="BH222" s="75"/>
      <c r="BI222" s="65"/>
      <c r="BJ222" s="65"/>
      <c r="BK222" s="65"/>
      <c r="BL222" s="65"/>
      <c r="BM222" s="65"/>
      <c r="BN222" s="65"/>
      <c r="BO222" s="65"/>
      <c r="BP222" s="65"/>
      <c r="BQ222" s="65"/>
      <c r="BR222" s="62"/>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row>
    <row r="223" spans="1:124">
      <c r="A223" s="14"/>
      <c r="B223" s="14"/>
      <c r="C223" s="14"/>
      <c r="D223" s="14"/>
      <c r="E223" s="14"/>
      <c r="F223" s="14"/>
      <c r="G223" s="14"/>
      <c r="H223" s="14"/>
      <c r="I223" s="14"/>
      <c r="J223" s="14"/>
      <c r="K223" s="14"/>
      <c r="L223" s="14"/>
      <c r="M223" s="14"/>
      <c r="N223" s="14"/>
      <c r="O223" s="14"/>
      <c r="P223" s="46"/>
      <c r="BH223" s="79"/>
      <c r="BI223" s="65"/>
      <c r="BJ223" s="80"/>
      <c r="BK223" s="65"/>
      <c r="BL223" s="81"/>
      <c r="BM223" s="81"/>
      <c r="BN223" s="81"/>
      <c r="BO223" s="81"/>
      <c r="BP223" s="81"/>
      <c r="BQ223" s="65"/>
      <c r="BR223" s="62"/>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row>
    <row r="224" spans="1:124">
      <c r="A224" s="14"/>
      <c r="B224" s="14"/>
      <c r="C224" s="14"/>
      <c r="D224" s="14"/>
      <c r="E224" s="14"/>
      <c r="F224" s="14"/>
      <c r="G224" s="14"/>
      <c r="H224" s="14"/>
      <c r="I224" s="14"/>
      <c r="J224" s="14"/>
      <c r="K224" s="14"/>
      <c r="L224" s="14"/>
      <c r="M224" s="14"/>
      <c r="N224" s="14"/>
      <c r="O224" s="14"/>
      <c r="P224" s="46"/>
      <c r="BH224" s="65"/>
      <c r="BI224" s="65"/>
      <c r="BJ224" s="65"/>
      <c r="BK224" s="65"/>
      <c r="BL224" s="154"/>
      <c r="BM224" s="154"/>
      <c r="BN224" s="154"/>
      <c r="BO224" s="154"/>
      <c r="BP224" s="154"/>
      <c r="BQ224" s="65"/>
      <c r="BR224" s="62"/>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row>
    <row r="225" spans="1:124">
      <c r="A225" s="14"/>
      <c r="B225" s="14"/>
      <c r="C225" s="14"/>
      <c r="D225" s="14"/>
      <c r="E225" s="14"/>
      <c r="F225" s="14"/>
      <c r="G225" s="14"/>
      <c r="H225" s="14"/>
      <c r="I225" s="14"/>
      <c r="J225" s="14"/>
      <c r="K225" s="14"/>
      <c r="L225" s="14"/>
      <c r="M225" s="14"/>
      <c r="N225" s="14"/>
      <c r="O225" s="14"/>
      <c r="P225" s="46"/>
      <c r="BH225" s="65"/>
      <c r="BI225" s="65"/>
      <c r="BJ225" s="65"/>
      <c r="BK225" s="65"/>
      <c r="BL225" s="150" t="str">
        <f>IF(C11="","",C11)</f>
        <v/>
      </c>
      <c r="BM225" s="150"/>
      <c r="BN225" s="150"/>
      <c r="BO225" s="150"/>
      <c r="BP225" s="150"/>
      <c r="BQ225" s="65"/>
      <c r="BR225" s="62"/>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row>
    <row r="226" spans="1:124">
      <c r="A226" s="14"/>
      <c r="B226" s="14"/>
      <c r="C226" s="14"/>
      <c r="D226" s="14"/>
      <c r="E226" s="14"/>
      <c r="F226" s="14"/>
      <c r="G226" s="14"/>
      <c r="H226" s="14"/>
      <c r="I226" s="14"/>
      <c r="J226" s="14"/>
      <c r="K226" s="14"/>
      <c r="L226" s="14"/>
      <c r="M226" s="14"/>
      <c r="N226" s="14"/>
      <c r="O226" s="14"/>
      <c r="P226" s="46"/>
      <c r="BH226" s="65"/>
      <c r="BI226" s="65"/>
      <c r="BJ226" s="65"/>
      <c r="BK226" s="65"/>
      <c r="BL226" s="151" t="str">
        <f>IF(C14="","",C14)</f>
        <v/>
      </c>
      <c r="BM226" s="151"/>
      <c r="BN226" s="151"/>
      <c r="BO226" s="151"/>
      <c r="BP226" s="151"/>
      <c r="BQ226" s="65"/>
      <c r="BR226" s="62"/>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row>
    <row r="227" spans="1:124" hidden="1">
      <c r="A227" s="14"/>
      <c r="B227" s="14"/>
      <c r="C227" s="14"/>
      <c r="D227" s="14"/>
      <c r="E227" s="14"/>
      <c r="F227" s="14"/>
      <c r="G227" s="14"/>
      <c r="H227" s="14"/>
      <c r="I227" s="14"/>
      <c r="J227" s="14"/>
      <c r="K227" s="14"/>
      <c r="L227" s="14"/>
      <c r="M227" s="14"/>
      <c r="N227" s="14"/>
      <c r="O227" s="14"/>
      <c r="P227" s="46"/>
      <c r="BH227" s="65"/>
      <c r="BI227" s="65"/>
      <c r="BJ227" s="65"/>
      <c r="BK227" s="65"/>
      <c r="BL227" s="65"/>
      <c r="BM227" s="65"/>
      <c r="BN227" s="65"/>
      <c r="BO227" s="65"/>
      <c r="BP227" s="65"/>
      <c r="BQ227" s="65"/>
      <c r="BR227" s="62"/>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row>
    <row r="228" spans="1:124">
      <c r="A228" s="14"/>
      <c r="B228" s="14"/>
      <c r="C228" s="14"/>
      <c r="D228" s="14"/>
      <c r="E228" s="14"/>
      <c r="F228" s="14"/>
      <c r="G228" s="14"/>
      <c r="H228" s="14"/>
      <c r="I228" s="14"/>
      <c r="J228" s="14"/>
      <c r="K228" s="14"/>
      <c r="L228" s="14"/>
      <c r="M228" s="14"/>
      <c r="N228" s="14"/>
      <c r="O228" s="14"/>
      <c r="P228" s="14"/>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58"/>
      <c r="BI228" s="58"/>
      <c r="BJ228" s="58"/>
      <c r="BK228" s="58"/>
      <c r="BL228" s="58"/>
      <c r="BM228" s="58"/>
      <c r="BN228" s="58"/>
      <c r="BO228" s="58"/>
      <c r="BP228" s="58"/>
      <c r="BQ228" s="58"/>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row>
    <row r="229" spans="1:124">
      <c r="A229" s="14"/>
      <c r="B229" s="14"/>
      <c r="C229" s="14"/>
      <c r="D229" s="14"/>
      <c r="E229" s="14"/>
      <c r="F229" s="14"/>
      <c r="G229" s="14"/>
      <c r="H229" s="14"/>
      <c r="I229" s="14"/>
      <c r="J229" s="14"/>
      <c r="K229" s="14"/>
      <c r="L229" s="14"/>
      <c r="M229" s="14"/>
      <c r="N229" s="14"/>
      <c r="O229" s="14"/>
      <c r="P229" s="14"/>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row>
    <row r="230" spans="1:124">
      <c r="A230" s="14"/>
      <c r="B230" s="14"/>
      <c r="C230" s="14"/>
      <c r="D230" s="14"/>
      <c r="E230" s="14"/>
      <c r="F230" s="14"/>
      <c r="G230" s="14"/>
      <c r="H230" s="14"/>
      <c r="I230" s="14"/>
      <c r="J230" s="14"/>
      <c r="K230" s="14"/>
      <c r="L230" s="14"/>
      <c r="M230" s="14"/>
      <c r="N230" s="14"/>
      <c r="O230" s="14"/>
      <c r="P230" s="14"/>
      <c r="Q230" s="82"/>
      <c r="R230" s="82"/>
      <c r="S230" s="82"/>
      <c r="T230" s="82"/>
      <c r="U230" s="82"/>
      <c r="V230" s="82"/>
      <c r="W230" s="82"/>
      <c r="X230" s="82"/>
      <c r="Y230" s="82"/>
      <c r="Z230" s="82"/>
      <c r="AA230" s="82"/>
      <c r="AB230" s="82"/>
      <c r="AC230" s="82"/>
      <c r="AD230" s="82"/>
      <c r="AE230" s="82"/>
      <c r="AF230" s="82"/>
      <c r="AG230" s="82"/>
      <c r="AH230" s="82"/>
      <c r="AI230" s="88"/>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row>
    <row r="231" spans="1:124">
      <c r="A231" s="14"/>
      <c r="B231" s="14"/>
      <c r="C231" s="14"/>
      <c r="D231" s="14"/>
      <c r="E231" s="14"/>
      <c r="F231" s="14"/>
      <c r="G231" s="14"/>
      <c r="H231" s="14"/>
      <c r="I231" s="14"/>
      <c r="J231" s="14"/>
      <c r="K231" s="14"/>
      <c r="L231" s="14"/>
      <c r="M231" s="14"/>
      <c r="N231" s="14"/>
      <c r="O231" s="14"/>
      <c r="P231" s="14"/>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row>
    <row r="232" spans="1:124">
      <c r="A232" s="14"/>
      <c r="B232" s="14"/>
      <c r="C232" s="14"/>
      <c r="D232" s="14"/>
      <c r="E232" s="14"/>
      <c r="F232" s="14"/>
      <c r="G232" s="14"/>
      <c r="H232" s="14"/>
      <c r="I232" s="14"/>
      <c r="J232" s="14"/>
      <c r="K232" s="14"/>
      <c r="L232" s="14"/>
      <c r="M232" s="14"/>
      <c r="N232" s="14"/>
      <c r="O232" s="14"/>
      <c r="P232" s="14"/>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row>
    <row r="233" spans="1:124">
      <c r="A233" s="14"/>
      <c r="B233" s="14"/>
      <c r="C233" s="14"/>
      <c r="D233" s="14"/>
      <c r="E233" s="14"/>
      <c r="F233" s="14"/>
      <c r="G233" s="14"/>
      <c r="H233" s="14"/>
      <c r="I233" s="14"/>
      <c r="J233" s="14"/>
      <c r="K233" s="14"/>
      <c r="L233" s="14"/>
      <c r="M233" s="14"/>
      <c r="N233" s="14"/>
      <c r="O233" s="14"/>
      <c r="P233" s="14"/>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row>
    <row r="234" spans="1:124">
      <c r="A234" s="14"/>
      <c r="B234" s="14"/>
      <c r="C234" s="14"/>
      <c r="D234" s="14"/>
      <c r="E234" s="14"/>
      <c r="F234" s="14"/>
      <c r="G234" s="14"/>
      <c r="H234" s="14"/>
      <c r="I234" s="14"/>
      <c r="J234" s="14"/>
      <c r="K234" s="14"/>
      <c r="L234" s="14"/>
      <c r="M234" s="14"/>
      <c r="N234" s="14"/>
      <c r="O234" s="14"/>
      <c r="P234" s="14"/>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row>
    <row r="235" spans="1:124">
      <c r="A235" s="14"/>
      <c r="B235" s="14"/>
      <c r="C235" s="14"/>
      <c r="D235" s="14"/>
      <c r="E235" s="14"/>
      <c r="F235" s="14"/>
      <c r="G235" s="14"/>
      <c r="H235" s="14"/>
      <c r="I235" s="14"/>
      <c r="J235" s="14"/>
      <c r="K235" s="14"/>
      <c r="L235" s="14"/>
      <c r="M235" s="14"/>
      <c r="N235" s="14"/>
      <c r="O235" s="14"/>
      <c r="P235" s="14"/>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row>
    <row r="236" spans="1:124">
      <c r="A236" s="14"/>
      <c r="B236" s="14"/>
      <c r="C236" s="14"/>
      <c r="D236" s="14"/>
      <c r="E236" s="14"/>
      <c r="F236" s="14"/>
      <c r="G236" s="14"/>
      <c r="H236" s="14"/>
      <c r="I236" s="14"/>
      <c r="J236" s="14"/>
      <c r="K236" s="14"/>
      <c r="L236" s="14"/>
      <c r="M236" s="14"/>
      <c r="N236" s="14"/>
      <c r="O236" s="14"/>
      <c r="P236" s="14"/>
      <c r="Q236" s="82"/>
      <c r="R236" s="82"/>
      <c r="S236" s="82"/>
      <c r="T236" s="82"/>
      <c r="U236" s="82"/>
      <c r="V236" s="89"/>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row>
    <row r="237" spans="1:124">
      <c r="A237" s="14"/>
      <c r="B237" s="14"/>
      <c r="C237" s="14"/>
      <c r="D237" s="14"/>
      <c r="E237" s="14"/>
      <c r="F237" s="14"/>
      <c r="G237" s="14"/>
      <c r="H237" s="14"/>
      <c r="I237" s="14"/>
      <c r="J237" s="14"/>
      <c r="K237" s="14"/>
      <c r="L237" s="14"/>
      <c r="M237" s="14"/>
      <c r="N237" s="14"/>
      <c r="O237" s="14"/>
      <c r="P237" s="14"/>
      <c r="Q237" s="82"/>
      <c r="R237" s="82"/>
      <c r="S237" s="82"/>
      <c r="T237" s="82"/>
      <c r="U237" s="82"/>
      <c r="V237" s="89"/>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row>
    <row r="238" spans="1:124">
      <c r="A238" s="14"/>
      <c r="B238" s="14"/>
      <c r="C238" s="14"/>
      <c r="D238" s="14"/>
      <c r="E238" s="14"/>
      <c r="F238" s="14"/>
      <c r="G238" s="14"/>
      <c r="H238" s="14"/>
      <c r="I238" s="14"/>
      <c r="J238" s="14"/>
      <c r="K238" s="14"/>
      <c r="L238" s="14"/>
      <c r="M238" s="14"/>
      <c r="N238" s="14"/>
      <c r="O238" s="14"/>
      <c r="P238" s="14"/>
      <c r="Q238" s="82"/>
      <c r="R238" s="82"/>
      <c r="S238" s="82"/>
      <c r="T238" s="82"/>
      <c r="U238" s="82"/>
      <c r="V238" s="90"/>
      <c r="W238" s="90"/>
      <c r="X238" s="90"/>
      <c r="Y238" s="90"/>
      <c r="Z238" s="90"/>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row>
    <row r="239" spans="1:124">
      <c r="A239" s="14"/>
      <c r="B239" s="14"/>
      <c r="C239" s="14"/>
      <c r="D239" s="14"/>
      <c r="E239" s="14"/>
      <c r="F239" s="14"/>
      <c r="G239" s="14"/>
      <c r="H239" s="14"/>
      <c r="I239" s="14"/>
      <c r="J239" s="14"/>
      <c r="K239" s="14"/>
      <c r="L239" s="14"/>
      <c r="M239" s="14"/>
      <c r="N239" s="14"/>
      <c r="O239" s="14"/>
      <c r="P239" s="14"/>
      <c r="Q239" s="82"/>
      <c r="R239" s="82"/>
      <c r="S239" s="82"/>
      <c r="T239" s="82"/>
      <c r="U239" s="82"/>
      <c r="V239" s="90"/>
      <c r="W239" s="90"/>
      <c r="X239" s="90"/>
      <c r="Y239" s="90"/>
      <c r="Z239" s="90"/>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row>
    <row r="240" spans="1:124">
      <c r="A240" s="14"/>
      <c r="B240" s="14"/>
      <c r="C240" s="14"/>
      <c r="D240" s="14"/>
      <c r="E240" s="14"/>
      <c r="F240" s="14"/>
      <c r="G240" s="14"/>
      <c r="H240" s="14"/>
      <c r="I240" s="14"/>
      <c r="J240" s="14"/>
      <c r="K240" s="14"/>
      <c r="L240" s="14"/>
      <c r="M240" s="14"/>
      <c r="N240" s="14"/>
      <c r="O240" s="14"/>
      <c r="P240" s="14"/>
      <c r="Q240" s="82"/>
      <c r="R240" s="82"/>
      <c r="S240" s="82"/>
      <c r="T240" s="82"/>
      <c r="U240" s="82"/>
      <c r="V240" s="90"/>
      <c r="W240" s="90"/>
      <c r="X240" s="90"/>
      <c r="Y240" s="90"/>
      <c r="Z240" s="90"/>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row>
    <row r="241" spans="1:124">
      <c r="A241" s="14"/>
      <c r="B241" s="14"/>
      <c r="C241" s="14"/>
      <c r="D241" s="14"/>
      <c r="E241" s="14"/>
      <c r="F241" s="14"/>
      <c r="G241" s="14"/>
      <c r="H241" s="14"/>
      <c r="I241" s="14"/>
      <c r="J241" s="14"/>
      <c r="K241" s="14"/>
      <c r="L241" s="14"/>
      <c r="M241" s="14"/>
      <c r="N241" s="14"/>
      <c r="O241" s="14"/>
      <c r="P241" s="14"/>
      <c r="Q241" s="82"/>
      <c r="R241" s="82"/>
      <c r="S241" s="82"/>
      <c r="T241" s="82"/>
      <c r="U241" s="82"/>
      <c r="V241" s="90"/>
      <c r="W241" s="90"/>
      <c r="X241" s="90"/>
      <c r="Y241" s="90"/>
      <c r="Z241" s="90"/>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row>
    <row r="242" spans="1:124">
      <c r="A242" s="14"/>
      <c r="B242" s="14"/>
      <c r="C242" s="14"/>
      <c r="D242" s="14"/>
      <c r="E242" s="14"/>
      <c r="F242" s="14"/>
      <c r="G242" s="14"/>
      <c r="H242" s="14"/>
      <c r="I242" s="14"/>
      <c r="J242" s="14"/>
      <c r="K242" s="14"/>
      <c r="L242" s="14"/>
      <c r="M242" s="14"/>
      <c r="N242" s="14"/>
      <c r="O242" s="14"/>
      <c r="P242" s="14"/>
      <c r="Q242" s="82"/>
      <c r="R242" s="82"/>
      <c r="S242" s="82"/>
      <c r="T242" s="82"/>
      <c r="U242" s="82"/>
      <c r="V242" s="90"/>
      <c r="W242" s="90"/>
      <c r="X242" s="90"/>
      <c r="Y242" s="90"/>
      <c r="Z242" s="90"/>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row>
    <row r="243" spans="1:124">
      <c r="A243" s="14"/>
      <c r="B243" s="14"/>
      <c r="C243" s="14"/>
      <c r="D243" s="14"/>
      <c r="E243" s="14"/>
      <c r="F243" s="14"/>
      <c r="G243" s="14"/>
      <c r="H243" s="14"/>
      <c r="I243" s="14"/>
      <c r="J243" s="14"/>
      <c r="K243" s="14"/>
      <c r="L243" s="14"/>
      <c r="M243" s="14"/>
      <c r="N243" s="14"/>
      <c r="O243" s="14"/>
      <c r="P243" s="14"/>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row>
    <row r="244" spans="1:124">
      <c r="A244" s="14"/>
      <c r="B244" s="14"/>
      <c r="C244" s="14"/>
      <c r="D244" s="14"/>
      <c r="E244" s="14"/>
      <c r="F244" s="14"/>
      <c r="G244" s="14"/>
      <c r="H244" s="14"/>
      <c r="I244" s="14"/>
      <c r="J244" s="14"/>
      <c r="K244" s="14"/>
      <c r="L244" s="14"/>
      <c r="M244" s="14"/>
      <c r="N244" s="14"/>
      <c r="O244" s="14"/>
      <c r="P244" s="14"/>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row>
    <row r="245" spans="1:124">
      <c r="A245" s="14"/>
      <c r="B245" s="14"/>
      <c r="C245" s="14"/>
      <c r="D245" s="14"/>
      <c r="E245" s="14"/>
      <c r="F245" s="14"/>
      <c r="G245" s="14"/>
      <c r="H245" s="14"/>
      <c r="I245" s="14"/>
      <c r="J245" s="14"/>
      <c r="K245" s="14"/>
      <c r="L245" s="14"/>
      <c r="M245" s="14"/>
      <c r="N245" s="14"/>
      <c r="O245" s="14"/>
      <c r="P245" s="14"/>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c r="AZ245" s="82"/>
      <c r="BA245" s="82"/>
      <c r="BB245" s="82"/>
      <c r="BC245" s="82"/>
      <c r="BD245" s="82"/>
      <c r="BE245" s="82"/>
      <c r="BF245" s="82"/>
      <c r="BG245" s="82"/>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row>
    <row r="246" spans="1:124">
      <c r="A246" s="14"/>
      <c r="B246" s="14"/>
      <c r="C246" s="14"/>
      <c r="D246" s="14"/>
      <c r="E246" s="14"/>
      <c r="F246" s="14"/>
      <c r="G246" s="14"/>
      <c r="H246" s="14"/>
      <c r="I246" s="14"/>
      <c r="J246" s="14"/>
      <c r="K246" s="14"/>
      <c r="L246" s="14"/>
      <c r="M246" s="14"/>
      <c r="N246" s="14"/>
      <c r="O246" s="14"/>
      <c r="P246" s="14"/>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c r="AZ246" s="82"/>
      <c r="BA246" s="82"/>
      <c r="BB246" s="82"/>
      <c r="BC246" s="82"/>
      <c r="BD246" s="82"/>
      <c r="BE246" s="82"/>
      <c r="BF246" s="82"/>
      <c r="BG246" s="82"/>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row>
    <row r="247" spans="1:124">
      <c r="A247" s="14"/>
      <c r="B247" s="14"/>
      <c r="C247" s="14"/>
      <c r="D247" s="14"/>
      <c r="E247" s="14"/>
      <c r="F247" s="14"/>
      <c r="G247" s="14"/>
      <c r="H247" s="14"/>
      <c r="I247" s="14"/>
      <c r="J247" s="14"/>
      <c r="K247" s="14"/>
      <c r="L247" s="14"/>
      <c r="M247" s="14"/>
      <c r="N247" s="14"/>
      <c r="O247" s="14"/>
      <c r="P247" s="14"/>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c r="AY247" s="82"/>
      <c r="AZ247" s="82"/>
      <c r="BA247" s="82"/>
      <c r="BB247" s="82"/>
      <c r="BC247" s="82"/>
      <c r="BD247" s="82"/>
      <c r="BE247" s="82"/>
      <c r="BF247" s="82"/>
      <c r="BG247" s="82"/>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c r="DQ247" s="14"/>
      <c r="DR247" s="14"/>
      <c r="DS247" s="14"/>
      <c r="DT247" s="14"/>
    </row>
    <row r="248" spans="1:124">
      <c r="A248" s="14"/>
      <c r="B248" s="14"/>
      <c r="C248" s="14"/>
      <c r="D248" s="14"/>
      <c r="E248" s="14"/>
      <c r="F248" s="14"/>
      <c r="G248" s="14"/>
      <c r="H248" s="14"/>
      <c r="I248" s="14"/>
      <c r="J248" s="14"/>
      <c r="K248" s="14"/>
      <c r="L248" s="14"/>
      <c r="M248" s="14"/>
      <c r="N248" s="14"/>
      <c r="O248" s="14"/>
      <c r="P248" s="14"/>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c r="AY248" s="82"/>
      <c r="AZ248" s="82"/>
      <c r="BA248" s="82"/>
      <c r="BB248" s="82"/>
      <c r="BC248" s="82"/>
      <c r="BD248" s="82"/>
      <c r="BE248" s="82"/>
      <c r="BF248" s="82"/>
      <c r="BG248" s="82"/>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row>
    <row r="249" spans="1:124">
      <c r="A249" s="14"/>
      <c r="B249" s="14"/>
      <c r="C249" s="14"/>
      <c r="D249" s="14"/>
      <c r="E249" s="14"/>
      <c r="F249" s="14"/>
      <c r="G249" s="14"/>
      <c r="H249" s="14"/>
      <c r="I249" s="14"/>
      <c r="J249" s="14"/>
      <c r="K249" s="14"/>
      <c r="L249" s="14"/>
      <c r="M249" s="14"/>
      <c r="N249" s="14"/>
      <c r="O249" s="14"/>
      <c r="P249" s="14"/>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c r="AY249" s="82"/>
      <c r="AZ249" s="82"/>
      <c r="BA249" s="82"/>
      <c r="BB249" s="82"/>
      <c r="BC249" s="82"/>
      <c r="BD249" s="82"/>
      <c r="BE249" s="82"/>
      <c r="BF249" s="82"/>
      <c r="BG249" s="82"/>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row>
    <row r="250" spans="1:124">
      <c r="A250" s="14"/>
      <c r="B250" s="14"/>
      <c r="C250" s="14"/>
      <c r="D250" s="14"/>
      <c r="E250" s="14"/>
      <c r="F250" s="14"/>
      <c r="G250" s="14"/>
      <c r="H250" s="14"/>
      <c r="I250" s="14"/>
      <c r="J250" s="14"/>
      <c r="K250" s="14"/>
      <c r="L250" s="14"/>
      <c r="M250" s="14"/>
      <c r="N250" s="14"/>
      <c r="O250" s="14"/>
      <c r="P250" s="14"/>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c r="AY250" s="82"/>
      <c r="AZ250" s="82"/>
      <c r="BA250" s="82"/>
      <c r="BB250" s="82"/>
      <c r="BC250" s="82"/>
      <c r="BD250" s="82"/>
      <c r="BE250" s="82"/>
      <c r="BF250" s="82"/>
      <c r="BG250" s="82"/>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row>
    <row r="251" spans="1:124">
      <c r="A251" s="14"/>
      <c r="B251" s="14"/>
      <c r="C251" s="14"/>
      <c r="D251" s="14"/>
      <c r="E251" s="14"/>
      <c r="F251" s="14"/>
      <c r="G251" s="14"/>
      <c r="H251" s="14"/>
      <c r="I251" s="14"/>
      <c r="J251" s="14"/>
      <c r="K251" s="14"/>
      <c r="L251" s="14"/>
      <c r="M251" s="14"/>
      <c r="N251" s="14"/>
      <c r="O251" s="14"/>
      <c r="P251" s="14"/>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c r="AY251" s="82"/>
      <c r="AZ251" s="82"/>
      <c r="BA251" s="82"/>
      <c r="BB251" s="82"/>
      <c r="BC251" s="82"/>
      <c r="BD251" s="82"/>
      <c r="BE251" s="82"/>
      <c r="BF251" s="82"/>
      <c r="BG251" s="82"/>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row>
    <row r="252" spans="1:124">
      <c r="A252" s="14"/>
      <c r="B252" s="14"/>
      <c r="C252" s="14"/>
      <c r="D252" s="14"/>
      <c r="E252" s="14"/>
      <c r="F252" s="14"/>
      <c r="G252" s="14"/>
      <c r="H252" s="14"/>
      <c r="I252" s="14"/>
      <c r="J252" s="14"/>
      <c r="K252" s="14"/>
      <c r="L252" s="14"/>
      <c r="M252" s="14"/>
      <c r="N252" s="14"/>
      <c r="O252" s="14"/>
      <c r="P252" s="14"/>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c r="AY252" s="82"/>
      <c r="AZ252" s="82"/>
      <c r="BA252" s="82"/>
      <c r="BB252" s="82"/>
      <c r="BC252" s="82"/>
      <c r="BD252" s="82"/>
      <c r="BE252" s="82"/>
      <c r="BF252" s="82"/>
      <c r="BG252" s="82"/>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row>
    <row r="253" spans="1:124">
      <c r="A253" s="14"/>
      <c r="B253" s="14"/>
      <c r="C253" s="14"/>
      <c r="D253" s="14"/>
      <c r="E253" s="14"/>
      <c r="F253" s="14"/>
      <c r="G253" s="14"/>
      <c r="H253" s="14"/>
      <c r="I253" s="14"/>
      <c r="J253" s="14"/>
      <c r="K253" s="14"/>
      <c r="L253" s="14"/>
      <c r="M253" s="14"/>
      <c r="N253" s="14"/>
      <c r="O253" s="14"/>
      <c r="P253" s="14"/>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c r="AY253" s="82"/>
      <c r="AZ253" s="82"/>
      <c r="BA253" s="82"/>
      <c r="BB253" s="82"/>
      <c r="BC253" s="82"/>
      <c r="BD253" s="82"/>
      <c r="BE253" s="82"/>
      <c r="BF253" s="82"/>
      <c r="BG253" s="82"/>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c r="DQ253" s="14"/>
      <c r="DR253" s="14"/>
      <c r="DS253" s="14"/>
      <c r="DT253" s="14"/>
    </row>
    <row r="254" spans="1:124">
      <c r="A254" s="14"/>
      <c r="B254" s="14"/>
      <c r="C254" s="14"/>
      <c r="D254" s="14"/>
      <c r="E254" s="14"/>
      <c r="F254" s="14"/>
      <c r="G254" s="14"/>
      <c r="H254" s="14"/>
      <c r="I254" s="14"/>
      <c r="J254" s="14"/>
      <c r="K254" s="14"/>
      <c r="L254" s="14"/>
      <c r="M254" s="14"/>
      <c r="N254" s="14"/>
      <c r="O254" s="14"/>
      <c r="P254" s="14"/>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c r="AY254" s="82"/>
      <c r="AZ254" s="82"/>
      <c r="BA254" s="82"/>
      <c r="BB254" s="82"/>
      <c r="BC254" s="82"/>
      <c r="BD254" s="82"/>
      <c r="BE254" s="82"/>
      <c r="BF254" s="82"/>
      <c r="BG254" s="82"/>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row>
    <row r="255" spans="1:124">
      <c r="A255" s="14"/>
      <c r="B255" s="14"/>
      <c r="C255" s="14"/>
      <c r="D255" s="14"/>
      <c r="E255" s="14"/>
      <c r="F255" s="14"/>
      <c r="G255" s="14"/>
      <c r="H255" s="14"/>
      <c r="I255" s="14"/>
      <c r="J255" s="14"/>
      <c r="K255" s="14"/>
      <c r="L255" s="14"/>
      <c r="M255" s="14"/>
      <c r="N255" s="14"/>
      <c r="O255" s="14"/>
      <c r="P255" s="14"/>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c r="AY255" s="82"/>
      <c r="AZ255" s="82"/>
      <c r="BA255" s="82"/>
      <c r="BB255" s="82"/>
      <c r="BC255" s="82"/>
      <c r="BD255" s="82"/>
      <c r="BE255" s="82"/>
      <c r="BF255" s="82"/>
      <c r="BG255" s="82"/>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c r="DQ255" s="14"/>
      <c r="DR255" s="14"/>
      <c r="DS255" s="14"/>
      <c r="DT255" s="14"/>
    </row>
    <row r="256" spans="1:124">
      <c r="A256" s="14"/>
      <c r="B256" s="14"/>
      <c r="C256" s="14"/>
      <c r="D256" s="14"/>
      <c r="E256" s="14"/>
      <c r="F256" s="14"/>
      <c r="G256" s="14"/>
      <c r="H256" s="14"/>
      <c r="I256" s="14"/>
      <c r="J256" s="14"/>
      <c r="K256" s="14"/>
      <c r="L256" s="14"/>
      <c r="M256" s="14"/>
      <c r="N256" s="14"/>
      <c r="O256" s="14"/>
      <c r="P256" s="14"/>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c r="AY256" s="82"/>
      <c r="AZ256" s="82"/>
      <c r="BA256" s="82"/>
      <c r="BB256" s="82"/>
      <c r="BC256" s="82"/>
      <c r="BD256" s="82"/>
      <c r="BE256" s="82"/>
      <c r="BF256" s="82"/>
      <c r="BG256" s="82"/>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row>
    <row r="257" spans="1:124">
      <c r="A257" s="14"/>
      <c r="B257" s="14"/>
      <c r="C257" s="14"/>
      <c r="D257" s="14"/>
      <c r="E257" s="14"/>
      <c r="F257" s="14"/>
      <c r="G257" s="14"/>
      <c r="H257" s="14"/>
      <c r="I257" s="14"/>
      <c r="J257" s="14"/>
      <c r="K257" s="14"/>
      <c r="L257" s="14"/>
      <c r="M257" s="14"/>
      <c r="N257" s="14"/>
      <c r="O257" s="14"/>
      <c r="P257" s="14"/>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c r="AY257" s="82"/>
      <c r="AZ257" s="82"/>
      <c r="BA257" s="82"/>
      <c r="BB257" s="82"/>
      <c r="BC257" s="82"/>
      <c r="BD257" s="82"/>
      <c r="BE257" s="82"/>
      <c r="BF257" s="82"/>
      <c r="BG257" s="82"/>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c r="DQ257" s="14"/>
      <c r="DR257" s="14"/>
      <c r="DS257" s="14"/>
      <c r="DT257" s="14"/>
    </row>
    <row r="258" spans="1:124">
      <c r="A258" s="14"/>
      <c r="B258" s="14"/>
      <c r="C258" s="14"/>
      <c r="D258" s="14"/>
      <c r="E258" s="14"/>
      <c r="F258" s="14"/>
      <c r="G258" s="14"/>
      <c r="H258" s="14"/>
      <c r="I258" s="14"/>
      <c r="J258" s="14"/>
      <c r="K258" s="14"/>
      <c r="L258" s="14"/>
      <c r="M258" s="14"/>
      <c r="N258" s="14"/>
      <c r="O258" s="14"/>
      <c r="P258" s="14"/>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c r="BA258" s="82"/>
      <c r="BB258" s="82"/>
      <c r="BC258" s="82"/>
      <c r="BD258" s="82"/>
      <c r="BE258" s="82"/>
      <c r="BF258" s="82"/>
      <c r="BG258" s="82"/>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c r="DQ258" s="14"/>
      <c r="DR258" s="14"/>
      <c r="DS258" s="14"/>
      <c r="DT258" s="14"/>
    </row>
    <row r="259" spans="1:124">
      <c r="A259" s="14"/>
      <c r="B259" s="14"/>
      <c r="C259" s="14"/>
      <c r="D259" s="14"/>
      <c r="E259" s="14"/>
      <c r="F259" s="14"/>
      <c r="G259" s="14"/>
      <c r="H259" s="14"/>
      <c r="I259" s="14"/>
      <c r="J259" s="14"/>
      <c r="K259" s="14"/>
      <c r="L259" s="14"/>
      <c r="M259" s="14"/>
      <c r="N259" s="14"/>
      <c r="O259" s="14"/>
      <c r="P259" s="14"/>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c r="AY259" s="82"/>
      <c r="AZ259" s="82"/>
      <c r="BA259" s="82"/>
      <c r="BB259" s="82"/>
      <c r="BC259" s="82"/>
      <c r="BD259" s="82"/>
      <c r="BE259" s="82"/>
      <c r="BF259" s="82"/>
      <c r="BG259" s="82"/>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c r="DQ259" s="14"/>
      <c r="DR259" s="14"/>
      <c r="DS259" s="14"/>
      <c r="DT259" s="14"/>
    </row>
    <row r="260" spans="1:124">
      <c r="A260" s="14"/>
      <c r="B260" s="14"/>
      <c r="C260" s="14"/>
      <c r="D260" s="14"/>
      <c r="E260" s="14"/>
      <c r="F260" s="14"/>
      <c r="G260" s="14"/>
      <c r="H260" s="14"/>
      <c r="I260" s="14"/>
      <c r="J260" s="14"/>
      <c r="K260" s="14"/>
      <c r="L260" s="14"/>
      <c r="M260" s="14"/>
      <c r="N260" s="14"/>
      <c r="O260" s="14"/>
      <c r="P260" s="14"/>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c r="AY260" s="82"/>
      <c r="AZ260" s="82"/>
      <c r="BA260" s="82"/>
      <c r="BB260" s="82"/>
      <c r="BC260" s="82"/>
      <c r="BD260" s="82"/>
      <c r="BE260" s="82"/>
      <c r="BF260" s="82"/>
      <c r="BG260" s="82"/>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c r="DQ260" s="14"/>
      <c r="DR260" s="14"/>
      <c r="DS260" s="14"/>
      <c r="DT260" s="14"/>
    </row>
    <row r="261" spans="1:124">
      <c r="A261" s="14"/>
      <c r="B261" s="14"/>
      <c r="C261" s="14"/>
      <c r="D261" s="14"/>
      <c r="E261" s="14"/>
      <c r="F261" s="14"/>
      <c r="G261" s="14"/>
      <c r="H261" s="14"/>
      <c r="I261" s="14"/>
      <c r="J261" s="14"/>
      <c r="K261" s="14"/>
      <c r="L261" s="14"/>
      <c r="M261" s="14"/>
      <c r="N261" s="14"/>
      <c r="O261" s="14"/>
      <c r="P261" s="14"/>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c r="AY261" s="82"/>
      <c r="AZ261" s="82"/>
      <c r="BA261" s="82"/>
      <c r="BB261" s="82"/>
      <c r="BC261" s="82"/>
      <c r="BD261" s="82"/>
      <c r="BE261" s="82"/>
      <c r="BF261" s="82"/>
      <c r="BG261" s="82"/>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c r="DT261" s="14"/>
    </row>
    <row r="262" spans="1:124">
      <c r="A262" s="14"/>
      <c r="B262" s="14"/>
      <c r="C262" s="14"/>
      <c r="D262" s="14"/>
      <c r="E262" s="14"/>
      <c r="F262" s="14"/>
      <c r="G262" s="14"/>
      <c r="H262" s="14"/>
      <c r="I262" s="14"/>
      <c r="J262" s="14"/>
      <c r="K262" s="14"/>
      <c r="L262" s="14"/>
      <c r="M262" s="14"/>
      <c r="N262" s="14"/>
      <c r="O262" s="14"/>
      <c r="P262" s="14"/>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c r="AY262" s="82"/>
      <c r="AZ262" s="82"/>
      <c r="BA262" s="82"/>
      <c r="BB262" s="82"/>
      <c r="BC262" s="82"/>
      <c r="BD262" s="82"/>
      <c r="BE262" s="82"/>
      <c r="BF262" s="82"/>
      <c r="BG262" s="82"/>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row>
    <row r="263" spans="1:124">
      <c r="A263" s="14"/>
      <c r="B263" s="14"/>
      <c r="C263" s="14"/>
      <c r="D263" s="14"/>
      <c r="E263" s="14"/>
      <c r="F263" s="14"/>
      <c r="G263" s="14"/>
      <c r="H263" s="14"/>
      <c r="I263" s="14"/>
      <c r="J263" s="14"/>
      <c r="K263" s="14"/>
      <c r="L263" s="14"/>
      <c r="M263" s="14"/>
      <c r="N263" s="14"/>
      <c r="O263" s="14"/>
      <c r="P263" s="14"/>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2"/>
      <c r="BB263" s="82"/>
      <c r="BC263" s="82"/>
      <c r="BD263" s="82"/>
      <c r="BE263" s="82"/>
      <c r="BF263" s="82"/>
      <c r="BG263" s="82"/>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c r="DQ263" s="14"/>
      <c r="DR263" s="14"/>
      <c r="DS263" s="14"/>
      <c r="DT263" s="14"/>
    </row>
    <row r="264" spans="1:124">
      <c r="A264" s="14"/>
      <c r="B264" s="14"/>
      <c r="C264" s="14"/>
      <c r="D264" s="14"/>
      <c r="E264" s="14"/>
      <c r="F264" s="14"/>
      <c r="G264" s="14"/>
      <c r="H264" s="14"/>
      <c r="I264" s="14"/>
      <c r="J264" s="14"/>
      <c r="K264" s="14"/>
      <c r="L264" s="14"/>
      <c r="M264" s="14"/>
      <c r="N264" s="14"/>
      <c r="O264" s="14"/>
      <c r="P264" s="14"/>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c r="AY264" s="82"/>
      <c r="AZ264" s="82"/>
      <c r="BA264" s="82"/>
      <c r="BB264" s="82"/>
      <c r="BC264" s="82"/>
      <c r="BD264" s="82"/>
      <c r="BE264" s="82"/>
      <c r="BF264" s="82"/>
      <c r="BG264" s="82"/>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c r="DQ264" s="14"/>
      <c r="DR264" s="14"/>
      <c r="DS264" s="14"/>
      <c r="DT264" s="14"/>
    </row>
    <row r="265" spans="1:124">
      <c r="A265" s="14"/>
      <c r="B265" s="14"/>
      <c r="C265" s="14"/>
      <c r="D265" s="14"/>
      <c r="E265" s="14"/>
      <c r="F265" s="14"/>
      <c r="G265" s="14"/>
      <c r="H265" s="14"/>
      <c r="I265" s="14"/>
      <c r="J265" s="14"/>
      <c r="K265" s="14"/>
      <c r="L265" s="14"/>
      <c r="M265" s="14"/>
      <c r="N265" s="14"/>
      <c r="O265" s="14"/>
      <c r="P265" s="14"/>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c r="AY265" s="82"/>
      <c r="AZ265" s="82"/>
      <c r="BA265" s="82"/>
      <c r="BB265" s="82"/>
      <c r="BC265" s="82"/>
      <c r="BD265" s="82"/>
      <c r="BE265" s="82"/>
      <c r="BF265" s="82"/>
      <c r="BG265" s="82"/>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c r="DQ265" s="14"/>
      <c r="DR265" s="14"/>
      <c r="DS265" s="14"/>
      <c r="DT265" s="14"/>
    </row>
    <row r="266" spans="1:124">
      <c r="A266" s="14"/>
      <c r="B266" s="14"/>
      <c r="C266" s="14"/>
      <c r="D266" s="14"/>
      <c r="E266" s="14"/>
      <c r="F266" s="14"/>
      <c r="G266" s="14"/>
      <c r="H266" s="14"/>
      <c r="I266" s="14"/>
      <c r="J266" s="14"/>
      <c r="K266" s="14"/>
      <c r="L266" s="14"/>
      <c r="M266" s="14"/>
      <c r="N266" s="14"/>
      <c r="O266" s="14"/>
      <c r="P266" s="14"/>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c r="AY266" s="82"/>
      <c r="AZ266" s="82"/>
      <c r="BA266" s="82"/>
      <c r="BB266" s="82"/>
      <c r="BC266" s="82"/>
      <c r="BD266" s="82"/>
      <c r="BE266" s="82"/>
      <c r="BF266" s="82"/>
      <c r="BG266" s="82"/>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row>
    <row r="267" spans="1:124">
      <c r="A267" s="14"/>
      <c r="B267" s="14"/>
      <c r="C267" s="14"/>
      <c r="D267" s="14"/>
      <c r="E267" s="14"/>
      <c r="F267" s="14"/>
      <c r="G267" s="14"/>
      <c r="H267" s="14"/>
      <c r="I267" s="14"/>
      <c r="J267" s="14"/>
      <c r="K267" s="14"/>
      <c r="L267" s="14"/>
      <c r="M267" s="14"/>
      <c r="N267" s="14"/>
      <c r="O267" s="14"/>
      <c r="P267" s="14"/>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c r="AY267" s="82"/>
      <c r="AZ267" s="82"/>
      <c r="BA267" s="82"/>
      <c r="BB267" s="82"/>
      <c r="BC267" s="82"/>
      <c r="BD267" s="82"/>
      <c r="BE267" s="82"/>
      <c r="BF267" s="82"/>
      <c r="BG267" s="82"/>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c r="DQ267" s="14"/>
      <c r="DR267" s="14"/>
      <c r="DS267" s="14"/>
      <c r="DT267" s="14"/>
    </row>
    <row r="268" spans="1:124">
      <c r="A268" s="14"/>
      <c r="B268" s="14"/>
      <c r="C268" s="14"/>
      <c r="D268" s="14"/>
      <c r="E268" s="14"/>
      <c r="F268" s="14"/>
      <c r="G268" s="14"/>
      <c r="H268" s="14"/>
      <c r="I268" s="14"/>
      <c r="J268" s="14"/>
      <c r="K268" s="14"/>
      <c r="L268" s="14"/>
      <c r="M268" s="14"/>
      <c r="N268" s="14"/>
      <c r="O268" s="14"/>
      <c r="P268" s="14"/>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c r="AY268" s="82"/>
      <c r="AZ268" s="82"/>
      <c r="BA268" s="82"/>
      <c r="BB268" s="82"/>
      <c r="BC268" s="82"/>
      <c r="BD268" s="82"/>
      <c r="BE268" s="82"/>
      <c r="BF268" s="82"/>
      <c r="BG268" s="82"/>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c r="DQ268" s="14"/>
      <c r="DR268" s="14"/>
      <c r="DS268" s="14"/>
      <c r="DT268" s="14"/>
    </row>
    <row r="269" spans="1:124">
      <c r="A269" s="14"/>
      <c r="B269" s="14"/>
      <c r="C269" s="14"/>
      <c r="D269" s="14"/>
      <c r="E269" s="14"/>
      <c r="F269" s="14"/>
      <c r="G269" s="14"/>
      <c r="H269" s="14"/>
      <c r="I269" s="14"/>
      <c r="J269" s="14"/>
      <c r="K269" s="14"/>
      <c r="L269" s="14"/>
      <c r="M269" s="14"/>
      <c r="N269" s="14"/>
      <c r="O269" s="14"/>
      <c r="P269" s="14"/>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c r="AY269" s="82"/>
      <c r="AZ269" s="82"/>
      <c r="BA269" s="82"/>
      <c r="BB269" s="82"/>
      <c r="BC269" s="82"/>
      <c r="BD269" s="82"/>
      <c r="BE269" s="82"/>
      <c r="BF269" s="82"/>
      <c r="BG269" s="82"/>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c r="DQ269" s="14"/>
      <c r="DR269" s="14"/>
      <c r="DS269" s="14"/>
      <c r="DT269" s="14"/>
    </row>
    <row r="270" spans="1:124">
      <c r="A270" s="14"/>
      <c r="B270" s="14"/>
      <c r="C270" s="14"/>
      <c r="D270" s="14"/>
      <c r="E270" s="14"/>
      <c r="F270" s="14"/>
      <c r="G270" s="14"/>
      <c r="H270" s="14"/>
      <c r="I270" s="14"/>
      <c r="J270" s="14"/>
      <c r="K270" s="14"/>
      <c r="L270" s="14"/>
      <c r="M270" s="14"/>
      <c r="N270" s="14"/>
      <c r="O270" s="14"/>
      <c r="P270" s="14"/>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c r="AY270" s="82"/>
      <c r="AZ270" s="82"/>
      <c r="BA270" s="82"/>
      <c r="BB270" s="82"/>
      <c r="BC270" s="82"/>
      <c r="BD270" s="82"/>
      <c r="BE270" s="82"/>
      <c r="BF270" s="82"/>
      <c r="BG270" s="82"/>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c r="DQ270" s="14"/>
      <c r="DR270" s="14"/>
      <c r="DS270" s="14"/>
      <c r="DT270" s="14"/>
    </row>
    <row r="271" spans="1:124">
      <c r="A271" s="14"/>
      <c r="B271" s="14"/>
      <c r="C271" s="14"/>
      <c r="D271" s="14"/>
      <c r="E271" s="14"/>
      <c r="F271" s="14"/>
      <c r="G271" s="14"/>
      <c r="H271" s="14"/>
      <c r="I271" s="14"/>
      <c r="J271" s="14"/>
      <c r="K271" s="14"/>
      <c r="L271" s="14"/>
      <c r="M271" s="14"/>
      <c r="N271" s="14"/>
      <c r="O271" s="14"/>
      <c r="P271" s="14"/>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c r="AY271" s="82"/>
      <c r="AZ271" s="82"/>
      <c r="BA271" s="82"/>
      <c r="BB271" s="82"/>
      <c r="BC271" s="82"/>
      <c r="BD271" s="82"/>
      <c r="BE271" s="82"/>
      <c r="BF271" s="82"/>
      <c r="BG271" s="82"/>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c r="DQ271" s="14"/>
      <c r="DR271" s="14"/>
      <c r="DS271" s="14"/>
      <c r="DT271" s="14"/>
    </row>
    <row r="272" spans="1:124">
      <c r="A272" s="14"/>
      <c r="B272" s="14"/>
      <c r="C272" s="14"/>
      <c r="D272" s="14"/>
      <c r="E272" s="14"/>
      <c r="F272" s="14"/>
      <c r="G272" s="14"/>
      <c r="H272" s="14"/>
      <c r="I272" s="14"/>
      <c r="J272" s="14"/>
      <c r="K272" s="14"/>
      <c r="L272" s="14"/>
      <c r="M272" s="14"/>
      <c r="N272" s="14"/>
      <c r="O272" s="14"/>
      <c r="P272" s="14"/>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c r="AY272" s="82"/>
      <c r="AZ272" s="82"/>
      <c r="BA272" s="82"/>
      <c r="BB272" s="82"/>
      <c r="BC272" s="82"/>
      <c r="BD272" s="82"/>
      <c r="BE272" s="82"/>
      <c r="BF272" s="82"/>
      <c r="BG272" s="82"/>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c r="DQ272" s="14"/>
      <c r="DR272" s="14"/>
      <c r="DS272" s="14"/>
      <c r="DT272" s="14"/>
    </row>
    <row r="273" spans="1:124">
      <c r="A273" s="14"/>
      <c r="B273" s="14"/>
      <c r="C273" s="14"/>
      <c r="D273" s="14"/>
      <c r="E273" s="14"/>
      <c r="F273" s="14"/>
      <c r="G273" s="14"/>
      <c r="H273" s="14"/>
      <c r="I273" s="14"/>
      <c r="J273" s="14"/>
      <c r="K273" s="14"/>
      <c r="L273" s="14"/>
      <c r="M273" s="14"/>
      <c r="N273" s="14"/>
      <c r="O273" s="14"/>
      <c r="P273" s="14"/>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c r="AY273" s="82"/>
      <c r="AZ273" s="82"/>
      <c r="BA273" s="82"/>
      <c r="BB273" s="82"/>
      <c r="BC273" s="82"/>
      <c r="BD273" s="82"/>
      <c r="BE273" s="82"/>
      <c r="BF273" s="82"/>
      <c r="BG273" s="82"/>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c r="DQ273" s="14"/>
      <c r="DR273" s="14"/>
      <c r="DS273" s="14"/>
      <c r="DT273" s="14"/>
    </row>
    <row r="274" spans="1:124">
      <c r="A274" s="14"/>
      <c r="B274" s="14"/>
      <c r="C274" s="14"/>
      <c r="D274" s="14"/>
      <c r="E274" s="14"/>
      <c r="F274" s="14"/>
      <c r="G274" s="14"/>
      <c r="H274" s="14"/>
      <c r="I274" s="14"/>
      <c r="J274" s="14"/>
      <c r="K274" s="14"/>
      <c r="L274" s="14"/>
      <c r="M274" s="14"/>
      <c r="N274" s="14"/>
      <c r="O274" s="14"/>
      <c r="P274" s="14"/>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c r="AY274" s="82"/>
      <c r="AZ274" s="82"/>
      <c r="BA274" s="82"/>
      <c r="BB274" s="82"/>
      <c r="BC274" s="82"/>
      <c r="BD274" s="82"/>
      <c r="BE274" s="82"/>
      <c r="BF274" s="82"/>
      <c r="BG274" s="82"/>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c r="DQ274" s="14"/>
      <c r="DR274" s="14"/>
      <c r="DS274" s="14"/>
      <c r="DT274" s="14"/>
    </row>
    <row r="275" spans="1:124">
      <c r="A275" s="14"/>
      <c r="B275" s="14"/>
      <c r="C275" s="14"/>
      <c r="D275" s="14"/>
      <c r="E275" s="14"/>
      <c r="F275" s="14"/>
      <c r="G275" s="14"/>
      <c r="H275" s="14"/>
      <c r="I275" s="14"/>
      <c r="J275" s="14"/>
      <c r="K275" s="14"/>
      <c r="L275" s="14"/>
      <c r="M275" s="14"/>
      <c r="N275" s="14"/>
      <c r="O275" s="14"/>
      <c r="P275" s="14"/>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c r="AY275" s="82"/>
      <c r="AZ275" s="82"/>
      <c r="BA275" s="82"/>
      <c r="BB275" s="82"/>
      <c r="BC275" s="82"/>
      <c r="BD275" s="82"/>
      <c r="BE275" s="82"/>
      <c r="BF275" s="82"/>
      <c r="BG275" s="82"/>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c r="DQ275" s="14"/>
      <c r="DR275" s="14"/>
      <c r="DS275" s="14"/>
      <c r="DT275" s="14"/>
    </row>
    <row r="276" spans="1:124">
      <c r="A276" s="14"/>
      <c r="B276" s="14"/>
      <c r="C276" s="14"/>
      <c r="D276" s="14"/>
      <c r="E276" s="14"/>
      <c r="F276" s="14"/>
      <c r="G276" s="14"/>
      <c r="H276" s="14"/>
      <c r="I276" s="14"/>
      <c r="J276" s="14"/>
      <c r="K276" s="14"/>
      <c r="L276" s="14"/>
      <c r="M276" s="14"/>
      <c r="N276" s="14"/>
      <c r="O276" s="14"/>
      <c r="P276" s="14"/>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c r="AY276" s="82"/>
      <c r="AZ276" s="82"/>
      <c r="BA276" s="82"/>
      <c r="BB276" s="82"/>
      <c r="BC276" s="82"/>
      <c r="BD276" s="82"/>
      <c r="BE276" s="82"/>
      <c r="BF276" s="82"/>
      <c r="BG276" s="82"/>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c r="DT276" s="14"/>
    </row>
  </sheetData>
  <sheetProtection algorithmName="SHA-512" hashValue="2mTe6DjIIXQY8qvGQUqRo4PHhzQNvaLuOv1FYvp7rqNiOqbGZc9eMyKU531W+ib6P4gZ6UKnCptJ0JzT5VJbOw==" saltValue="vEHrDVMxPh9sHzcUGf1vMg==" spinCount="100000" sheet="1" scenarios="1"/>
  <mergeCells count="155">
    <mergeCell ref="O1:O2"/>
    <mergeCell ref="AZ58:BB58"/>
    <mergeCell ref="C111:C114"/>
    <mergeCell ref="D111:G114"/>
    <mergeCell ref="I111:I114"/>
    <mergeCell ref="C94:C99"/>
    <mergeCell ref="L94:O99"/>
    <mergeCell ref="L101:O104"/>
    <mergeCell ref="L106:O109"/>
    <mergeCell ref="L111:O114"/>
    <mergeCell ref="I94:I99"/>
    <mergeCell ref="C101:C104"/>
    <mergeCell ref="D101:G104"/>
    <mergeCell ref="I101:I104"/>
    <mergeCell ref="C71:G74"/>
    <mergeCell ref="G21:G22"/>
    <mergeCell ref="C35:O40"/>
    <mergeCell ref="C28:I29"/>
    <mergeCell ref="I84:I88"/>
    <mergeCell ref="L84:O88"/>
    <mergeCell ref="C42:O44"/>
    <mergeCell ref="I71:O74"/>
    <mergeCell ref="C159:L161"/>
    <mergeCell ref="N146:N147"/>
    <mergeCell ref="J146:K147"/>
    <mergeCell ref="F146:G146"/>
    <mergeCell ref="H146:I147"/>
    <mergeCell ref="H148:I148"/>
    <mergeCell ref="H149:I149"/>
    <mergeCell ref="H150:I150"/>
    <mergeCell ref="C151:D151"/>
    <mergeCell ref="C149:D149"/>
    <mergeCell ref="C156:D156"/>
    <mergeCell ref="C157:D157"/>
    <mergeCell ref="C154:D154"/>
    <mergeCell ref="C155:D155"/>
    <mergeCell ref="C152:D152"/>
    <mergeCell ref="C153:D153"/>
    <mergeCell ref="H152:I152"/>
    <mergeCell ref="H153:I153"/>
    <mergeCell ref="H154:I154"/>
    <mergeCell ref="H155:I155"/>
    <mergeCell ref="H156:I156"/>
    <mergeCell ref="H157:I157"/>
    <mergeCell ref="C142:L143"/>
    <mergeCell ref="C146:D147"/>
    <mergeCell ref="E146:E147"/>
    <mergeCell ref="L146:L147"/>
    <mergeCell ref="C148:D148"/>
    <mergeCell ref="H151:I151"/>
    <mergeCell ref="I122:I125"/>
    <mergeCell ref="D127:G129"/>
    <mergeCell ref="C131:D131"/>
    <mergeCell ref="C132:F132"/>
    <mergeCell ref="C133:F133"/>
    <mergeCell ref="I138:L138"/>
    <mergeCell ref="I137:L137"/>
    <mergeCell ref="I136:L136"/>
    <mergeCell ref="BL191:BM193"/>
    <mergeCell ref="BN191:BN193"/>
    <mergeCell ref="BO191:BQ193"/>
    <mergeCell ref="BI189:BK190"/>
    <mergeCell ref="BH189:BH190"/>
    <mergeCell ref="BH173:BQ174"/>
    <mergeCell ref="BH178:BQ178"/>
    <mergeCell ref="BH186:BO187"/>
    <mergeCell ref="BO189:BQ190"/>
    <mergeCell ref="BN189:BN190"/>
    <mergeCell ref="BL189:BM190"/>
    <mergeCell ref="BH181:BO181"/>
    <mergeCell ref="BI191:BK193"/>
    <mergeCell ref="BH191:BH193"/>
    <mergeCell ref="BH188:BK188"/>
    <mergeCell ref="BL188:BN188"/>
    <mergeCell ref="BH183:BQ184"/>
    <mergeCell ref="BM176:BP177"/>
    <mergeCell ref="BI200:BK201"/>
    <mergeCell ref="BH200:BH201"/>
    <mergeCell ref="BL200:BM201"/>
    <mergeCell ref="BN200:BN201"/>
    <mergeCell ref="BO200:BQ201"/>
    <mergeCell ref="BI194:BK195"/>
    <mergeCell ref="BH194:BH195"/>
    <mergeCell ref="BL194:BM195"/>
    <mergeCell ref="BN194:BN195"/>
    <mergeCell ref="BO194:BQ195"/>
    <mergeCell ref="BI196:BK199"/>
    <mergeCell ref="BH196:BH199"/>
    <mergeCell ref="BL196:BM199"/>
    <mergeCell ref="BN196:BN199"/>
    <mergeCell ref="BO196:BQ199"/>
    <mergeCell ref="BL225:BP225"/>
    <mergeCell ref="BL226:BP226"/>
    <mergeCell ref="BH220:BI220"/>
    <mergeCell ref="BI211:BK212"/>
    <mergeCell ref="BH211:BH212"/>
    <mergeCell ref="BL211:BM212"/>
    <mergeCell ref="BN211:BN212"/>
    <mergeCell ref="BO211:BQ212"/>
    <mergeCell ref="BI209:BK210"/>
    <mergeCell ref="BH209:BH210"/>
    <mergeCell ref="BL209:BM210"/>
    <mergeCell ref="BN209:BN210"/>
    <mergeCell ref="BO209:BQ210"/>
    <mergeCell ref="BH216:BQ217"/>
    <mergeCell ref="BL224:BP224"/>
    <mergeCell ref="BH214:BQ215"/>
    <mergeCell ref="BI207:BK208"/>
    <mergeCell ref="BH207:BH208"/>
    <mergeCell ref="BL207:BM208"/>
    <mergeCell ref="BN207:BN208"/>
    <mergeCell ref="BO207:BQ208"/>
    <mergeCell ref="BI204:BK206"/>
    <mergeCell ref="BH204:BH206"/>
    <mergeCell ref="BL204:BM206"/>
    <mergeCell ref="BN204:BN206"/>
    <mergeCell ref="BO204:BQ206"/>
    <mergeCell ref="BI202:BK203"/>
    <mergeCell ref="BH202:BH203"/>
    <mergeCell ref="BL202:BM203"/>
    <mergeCell ref="BN202:BN203"/>
    <mergeCell ref="BO202:BQ203"/>
    <mergeCell ref="C4:I5"/>
    <mergeCell ref="C11:F11"/>
    <mergeCell ref="C8:F8"/>
    <mergeCell ref="C14:F14"/>
    <mergeCell ref="D80:G82"/>
    <mergeCell ref="I80:I82"/>
    <mergeCell ref="C80:C82"/>
    <mergeCell ref="C150:D150"/>
    <mergeCell ref="C136:G136"/>
    <mergeCell ref="C137:G138"/>
    <mergeCell ref="C139:G140"/>
    <mergeCell ref="C90:C92"/>
    <mergeCell ref="I90:I92"/>
    <mergeCell ref="C127:C129"/>
    <mergeCell ref="C116:C120"/>
    <mergeCell ref="D116:G120"/>
    <mergeCell ref="I116:I120"/>
    <mergeCell ref="C122:C125"/>
    <mergeCell ref="D122:G125"/>
    <mergeCell ref="L116:O120"/>
    <mergeCell ref="L122:O125"/>
    <mergeCell ref="I127:I129"/>
    <mergeCell ref="L127:O129"/>
    <mergeCell ref="J79:K79"/>
    <mergeCell ref="C106:C109"/>
    <mergeCell ref="D106:G109"/>
    <mergeCell ref="I106:I109"/>
    <mergeCell ref="D94:G99"/>
    <mergeCell ref="L90:O92"/>
    <mergeCell ref="D90:G92"/>
    <mergeCell ref="L80:O82"/>
    <mergeCell ref="C84:C88"/>
    <mergeCell ref="D84:G88"/>
  </mergeCells>
  <conditionalFormatting sqref="BL196:BQ199">
    <cfRule type="expression" dxfId="190" priority="333">
      <formula>$T$57=TRUE</formula>
    </cfRule>
  </conditionalFormatting>
  <conditionalFormatting sqref="BH181">
    <cfRule type="expression" dxfId="189" priority="413">
      <formula>$AN$162=TRUE</formula>
    </cfRule>
  </conditionalFormatting>
  <conditionalFormatting sqref="BH189:BK193">
    <cfRule type="expression" dxfId="188" priority="393">
      <formula>$T$57=TRUE</formula>
    </cfRule>
  </conditionalFormatting>
  <conditionalFormatting sqref="BO189:BQ193">
    <cfRule type="expression" dxfId="187" priority="390">
      <formula>$T$57=TRUE</formula>
    </cfRule>
  </conditionalFormatting>
  <conditionalFormatting sqref="BL189:BN190">
    <cfRule type="expression" dxfId="186" priority="7">
      <formula>$R$68=TRUE</formula>
    </cfRule>
    <cfRule type="expression" dxfId="185" priority="10">
      <formula>$R$67=TRUE</formula>
    </cfRule>
    <cfRule type="expression" dxfId="184" priority="12">
      <formula>$S$68=TRUE</formula>
    </cfRule>
    <cfRule type="expression" dxfId="183" priority="13">
      <formula>$S$67=TRUE</formula>
    </cfRule>
    <cfRule type="expression" dxfId="182" priority="82">
      <formula>$O$46=1</formula>
    </cfRule>
    <cfRule type="expression" dxfId="181" priority="300">
      <formula>$O$58=10</formula>
    </cfRule>
    <cfRule type="expression" dxfId="180" priority="301">
      <formula>$O$58=9</formula>
    </cfRule>
    <cfRule type="expression" dxfId="179" priority="302">
      <formula>$O$58=1</formula>
    </cfRule>
    <cfRule type="expression" dxfId="178" priority="349">
      <formula>T57=TRUE</formula>
    </cfRule>
    <cfRule type="expression" dxfId="177" priority="350">
      <formula>$AK$189=TRUE</formula>
    </cfRule>
  </conditionalFormatting>
  <conditionalFormatting sqref="BH194:BQ195">
    <cfRule type="expression" dxfId="176" priority="337">
      <formula>$AK$191=TRUE</formula>
    </cfRule>
    <cfRule type="expression" dxfId="175" priority="417">
      <formula>$T$57=TRUE</formula>
    </cfRule>
  </conditionalFormatting>
  <conditionalFormatting sqref="BH211:BQ212">
    <cfRule type="expression" dxfId="174" priority="297">
      <formula>$AI$189=TRUE</formula>
    </cfRule>
    <cfRule type="expression" dxfId="173" priority="298">
      <formula>$AK$198=TRUE</formula>
    </cfRule>
    <cfRule type="expression" dxfId="172" priority="308">
      <formula>$AI$189=TRUE</formula>
    </cfRule>
    <cfRule type="expression" dxfId="171" priority="419">
      <formula>$T$57=TRUE</formula>
    </cfRule>
  </conditionalFormatting>
  <conditionalFormatting sqref="BH194:BK195">
    <cfRule type="expression" dxfId="170" priority="340">
      <formula>$AL$191=TRUE</formula>
    </cfRule>
    <cfRule type="expression" dxfId="169" priority="353">
      <formula>"s58=SANN"</formula>
    </cfRule>
  </conditionalFormatting>
  <conditionalFormatting sqref="BH189:BK190">
    <cfRule type="expression" dxfId="168" priority="344">
      <formula>$AK$189=TRUE</formula>
    </cfRule>
    <cfRule type="expression" dxfId="167" priority="352">
      <formula>$AL$189=TRUE</formula>
    </cfRule>
  </conditionalFormatting>
  <conditionalFormatting sqref="BO189:BQ190">
    <cfRule type="expression" dxfId="166" priority="343">
      <formula>$AK$189=TRUE</formula>
    </cfRule>
    <cfRule type="expression" dxfId="165" priority="351">
      <formula>$AL$189=TRUE</formula>
    </cfRule>
  </conditionalFormatting>
  <conditionalFormatting sqref="BH191:BK193">
    <cfRule type="expression" dxfId="164" priority="342">
      <formula>$AK$190=TRUE</formula>
    </cfRule>
    <cfRule type="expression" dxfId="163" priority="348">
      <formula>$AL$190=TRUE</formula>
    </cfRule>
  </conditionalFormatting>
  <conditionalFormatting sqref="BO191:BQ193">
    <cfRule type="expression" dxfId="162" priority="341">
      <formula>$AK$190=TRUE</formula>
    </cfRule>
    <cfRule type="expression" dxfId="161" priority="347">
      <formula>$AL$190=TRUE</formula>
    </cfRule>
  </conditionalFormatting>
  <conditionalFormatting sqref="BL191:BN193">
    <cfRule type="expression" dxfId="160" priority="345">
      <formula>$AK$190=TRUE</formula>
    </cfRule>
    <cfRule type="expression" dxfId="159" priority="346">
      <formula>$AL$190=TRUE</formula>
    </cfRule>
  </conditionalFormatting>
  <conditionalFormatting sqref="BO194:BQ195">
    <cfRule type="expression" dxfId="158" priority="339">
      <formula>$AL$191=TRUE</formula>
    </cfRule>
  </conditionalFormatting>
  <conditionalFormatting sqref="BL194:BN195">
    <cfRule type="expression" dxfId="157" priority="338">
      <formula>$AL$191=TRUE</formula>
    </cfRule>
  </conditionalFormatting>
  <conditionalFormatting sqref="BH196:BK199">
    <cfRule type="expression" dxfId="156" priority="332">
      <formula>$AI$189=TRUE</formula>
    </cfRule>
    <cfRule type="expression" dxfId="155" priority="405">
      <formula>$AL$192=TRUE</formula>
    </cfRule>
  </conditionalFormatting>
  <conditionalFormatting sqref="BO196:BQ199">
    <cfRule type="expression" dxfId="154" priority="336">
      <formula>$AL$192=TRUE</formula>
    </cfRule>
  </conditionalFormatting>
  <conditionalFormatting sqref="BL196:BN199">
    <cfRule type="expression" dxfId="153" priority="335">
      <formula>$AL$192=TRUE</formula>
    </cfRule>
  </conditionalFormatting>
  <conditionalFormatting sqref="BH196:BQ199">
    <cfRule type="expression" dxfId="152" priority="334">
      <formula>$AK$192=TRUE</formula>
    </cfRule>
  </conditionalFormatting>
  <conditionalFormatting sqref="BH200:BK201">
    <cfRule type="expression" dxfId="151" priority="331">
      <formula>$AL$193=TRUE</formula>
    </cfRule>
  </conditionalFormatting>
  <conditionalFormatting sqref="BO200:BQ201">
    <cfRule type="expression" dxfId="150" priority="330">
      <formula>$AL$193=TRUE</formula>
    </cfRule>
  </conditionalFormatting>
  <conditionalFormatting sqref="BL200:BN201">
    <cfRule type="expression" dxfId="149" priority="329">
      <formula>$AL$193=TRUE</formula>
    </cfRule>
  </conditionalFormatting>
  <conditionalFormatting sqref="BH202:BQ203">
    <cfRule type="expression" dxfId="148" priority="322">
      <formula>$AI$189=TRUE</formula>
    </cfRule>
    <cfRule type="expression" dxfId="147" priority="323">
      <formula>$AK$194=TRUE</formula>
    </cfRule>
    <cfRule type="expression" dxfId="146" priority="327">
      <formula>$AK$194=TRUE</formula>
    </cfRule>
    <cfRule type="expression" dxfId="145" priority="328">
      <formula>$AI$189=TRUE</formula>
    </cfRule>
  </conditionalFormatting>
  <conditionalFormatting sqref="BH202:BK203">
    <cfRule type="expression" dxfId="144" priority="326">
      <formula>$AL$194=TRUE</formula>
    </cfRule>
  </conditionalFormatting>
  <conditionalFormatting sqref="BO202:BQ203">
    <cfRule type="expression" dxfId="143" priority="325">
      <formula>$AL$194=TRUE</formula>
    </cfRule>
  </conditionalFormatting>
  <conditionalFormatting sqref="BL202:BN203">
    <cfRule type="expression" dxfId="142" priority="324">
      <formula>$AL$194=TRUE</formula>
    </cfRule>
  </conditionalFormatting>
  <conditionalFormatting sqref="BH204:BK206">
    <cfRule type="expression" dxfId="141" priority="321">
      <formula>$AL$195=TRUE</formula>
    </cfRule>
  </conditionalFormatting>
  <conditionalFormatting sqref="BO204:BQ206">
    <cfRule type="expression" dxfId="140" priority="320">
      <formula>$AL$195=TRUE</formula>
    </cfRule>
  </conditionalFormatting>
  <conditionalFormatting sqref="BL204:BN206">
    <cfRule type="expression" dxfId="139" priority="319">
      <formula>$AL$195=TRUE</formula>
    </cfRule>
  </conditionalFormatting>
  <conditionalFormatting sqref="BH204:BQ206">
    <cfRule type="expression" dxfId="138" priority="317">
      <formula>$AI$189=TRUE</formula>
    </cfRule>
    <cfRule type="expression" dxfId="137" priority="318">
      <formula>$AK$195=TRUE</formula>
    </cfRule>
  </conditionalFormatting>
  <conditionalFormatting sqref="BH209:BK210">
    <cfRule type="expression" dxfId="136" priority="316">
      <formula>$AL$197=TRUE</formula>
    </cfRule>
  </conditionalFormatting>
  <conditionalFormatting sqref="BO209:BQ210">
    <cfRule type="expression" dxfId="135" priority="315">
      <formula>$AL$197=TRUE</formula>
    </cfRule>
  </conditionalFormatting>
  <conditionalFormatting sqref="BL209:BN210">
    <cfRule type="expression" dxfId="134" priority="314">
      <formula>$AL$197=TRUE</formula>
    </cfRule>
  </conditionalFormatting>
  <conditionalFormatting sqref="BH209:BQ210">
    <cfRule type="expression" dxfId="133" priority="312">
      <formula>$AI$189=TRUE</formula>
    </cfRule>
    <cfRule type="expression" dxfId="132" priority="313">
      <formula>$AK$197=TRUE</formula>
    </cfRule>
  </conditionalFormatting>
  <conditionalFormatting sqref="BH211:BK212">
    <cfRule type="expression" dxfId="131" priority="311">
      <formula>$AL$198</formula>
    </cfRule>
  </conditionalFormatting>
  <conditionalFormatting sqref="BO211:BQ212">
    <cfRule type="expression" dxfId="130" priority="310">
      <formula>$AL$198=TRUE</formula>
    </cfRule>
  </conditionalFormatting>
  <conditionalFormatting sqref="BL211:BN212">
    <cfRule type="expression" dxfId="129" priority="309">
      <formula>$AL$198=TRUE</formula>
    </cfRule>
  </conditionalFormatting>
  <conditionalFormatting sqref="BH207:BK208">
    <cfRule type="expression" dxfId="128" priority="307">
      <formula>$AL$196=TRUE</formula>
    </cfRule>
  </conditionalFormatting>
  <conditionalFormatting sqref="BO207:BQ208">
    <cfRule type="expression" dxfId="127" priority="306">
      <formula>$AL$196=TRUE</formula>
    </cfRule>
  </conditionalFormatting>
  <conditionalFormatting sqref="BL207:BN208">
    <cfRule type="expression" dxfId="126" priority="305">
      <formula>$AL$196=TRUE</formula>
    </cfRule>
  </conditionalFormatting>
  <conditionalFormatting sqref="BH207:BQ208">
    <cfRule type="expression" dxfId="125" priority="303">
      <formula>$AI$189=TRUE</formula>
    </cfRule>
    <cfRule type="expression" dxfId="124" priority="304">
      <formula>$AK$196=TRUE</formula>
    </cfRule>
  </conditionalFormatting>
  <conditionalFormatting sqref="BH200:BQ201">
    <cfRule type="expression" dxfId="123" priority="296">
      <formula>$AI$189=TRUE</formula>
    </cfRule>
    <cfRule type="expression" dxfId="122" priority="299">
      <formula>$AK$193=TRUE</formula>
    </cfRule>
  </conditionalFormatting>
  <conditionalFormatting sqref="D27:G27">
    <cfRule type="expression" dxfId="121" priority="420">
      <formula>$T$27=TRUE</formula>
    </cfRule>
  </conditionalFormatting>
  <conditionalFormatting sqref="H30:H33">
    <cfRule type="expression" dxfId="120" priority="421">
      <formula>$T$27=TRUE</formula>
    </cfRule>
  </conditionalFormatting>
  <conditionalFormatting sqref="C84:C88">
    <cfRule type="expression" dxfId="119" priority="288">
      <formula>$U$84=TRUE</formula>
    </cfRule>
  </conditionalFormatting>
  <conditionalFormatting sqref="I84:I88">
    <cfRule type="expression" dxfId="118" priority="287">
      <formula>$V$84=TRUE</formula>
    </cfRule>
  </conditionalFormatting>
  <conditionalFormatting sqref="L84:O88">
    <cfRule type="expression" dxfId="117" priority="285">
      <formula>$U$84=TRUE</formula>
    </cfRule>
  </conditionalFormatting>
  <conditionalFormatting sqref="C90">
    <cfRule type="expression" dxfId="116" priority="284">
      <formula>$U$85=TRUE</formula>
    </cfRule>
  </conditionalFormatting>
  <conditionalFormatting sqref="I90:I92">
    <cfRule type="expression" dxfId="115" priority="282">
      <formula>$V$85=TRUE</formula>
    </cfRule>
  </conditionalFormatting>
  <conditionalFormatting sqref="C94:C99">
    <cfRule type="expression" dxfId="114" priority="280">
      <formula>$U$86=TRUE</formula>
    </cfRule>
  </conditionalFormatting>
  <conditionalFormatting sqref="D94:G99">
    <cfRule type="expression" dxfId="113" priority="279">
      <formula>$U$86=TRUE</formula>
    </cfRule>
  </conditionalFormatting>
  <conditionalFormatting sqref="I94:I99">
    <cfRule type="expression" dxfId="112" priority="278">
      <formula>$V$86=TRUE</formula>
    </cfRule>
  </conditionalFormatting>
  <conditionalFormatting sqref="L101:O104">
    <cfRule type="expression" dxfId="111" priority="276">
      <formula>$U$87=TRUE</formula>
    </cfRule>
  </conditionalFormatting>
  <conditionalFormatting sqref="I101:I104">
    <cfRule type="expression" dxfId="110" priority="275">
      <formula>$V$87=TRUE</formula>
    </cfRule>
  </conditionalFormatting>
  <conditionalFormatting sqref="C101:C104">
    <cfRule type="expression" dxfId="109" priority="274">
      <formula>$U$87=TRUE</formula>
    </cfRule>
  </conditionalFormatting>
  <conditionalFormatting sqref="D101:G104">
    <cfRule type="expression" dxfId="108" priority="273">
      <formula>$U$87=TRUE</formula>
    </cfRule>
  </conditionalFormatting>
  <conditionalFormatting sqref="I106:I109">
    <cfRule type="expression" dxfId="107" priority="272">
      <formula>$V$88=TRUE</formula>
    </cfRule>
  </conditionalFormatting>
  <conditionalFormatting sqref="L106:O109">
    <cfRule type="expression" dxfId="106" priority="271">
      <formula>$U$88=TRUE</formula>
    </cfRule>
  </conditionalFormatting>
  <conditionalFormatting sqref="C106:C109">
    <cfRule type="expression" dxfId="105" priority="270">
      <formula>$U$88=TRUE</formula>
    </cfRule>
  </conditionalFormatting>
  <conditionalFormatting sqref="D106:G109">
    <cfRule type="expression" dxfId="104" priority="269">
      <formula>$U$88=TRUE</formula>
    </cfRule>
  </conditionalFormatting>
  <conditionalFormatting sqref="L111:O114">
    <cfRule type="expression" dxfId="103" priority="268">
      <formula>$U$89=TRUE</formula>
    </cfRule>
  </conditionalFormatting>
  <conditionalFormatting sqref="I111:I114">
    <cfRule type="expression" dxfId="102" priority="267">
      <formula>$V$89=TRUE</formula>
    </cfRule>
  </conditionalFormatting>
  <conditionalFormatting sqref="C111:C114">
    <cfRule type="expression" dxfId="101" priority="266">
      <formula>$U$89=TRUE</formula>
    </cfRule>
  </conditionalFormatting>
  <conditionalFormatting sqref="D111:G114">
    <cfRule type="expression" dxfId="100" priority="265">
      <formula>$U$89=TRUE</formula>
    </cfRule>
  </conditionalFormatting>
  <conditionalFormatting sqref="I116:I120">
    <cfRule type="expression" dxfId="99" priority="264">
      <formula>$V$90=TRUE</formula>
    </cfRule>
  </conditionalFormatting>
  <conditionalFormatting sqref="C116:C120">
    <cfRule type="expression" dxfId="98" priority="262">
      <formula>$U$90=TRUE</formula>
    </cfRule>
  </conditionalFormatting>
  <conditionalFormatting sqref="D116:G120">
    <cfRule type="expression" dxfId="97" priority="261">
      <formula>$U$90=TRUE</formula>
    </cfRule>
  </conditionalFormatting>
  <conditionalFormatting sqref="I80:I82">
    <cfRule type="expression" dxfId="96" priority="434">
      <formula>$V$83=TRUE</formula>
    </cfRule>
  </conditionalFormatting>
  <conditionalFormatting sqref="L80:O82">
    <cfRule type="expression" dxfId="95" priority="256">
      <formula>$U$83=TRUE</formula>
    </cfRule>
  </conditionalFormatting>
  <conditionalFormatting sqref="C80:C82">
    <cfRule type="expression" dxfId="94" priority="255">
      <formula>$U$83=TRUE</formula>
    </cfRule>
  </conditionalFormatting>
  <conditionalFormatting sqref="D80:G82">
    <cfRule type="expression" dxfId="93" priority="254">
      <formula>$U$83=TRUE</formula>
    </cfRule>
  </conditionalFormatting>
  <conditionalFormatting sqref="C137:G138">
    <cfRule type="expression" dxfId="92" priority="2">
      <formula>$R$69=TRUE</formula>
    </cfRule>
    <cfRule type="expression" dxfId="91" priority="3">
      <formula>$R$62=TRUE</formula>
    </cfRule>
    <cfRule type="expression" dxfId="90" priority="4">
      <formula>$S$64=TRUE</formula>
    </cfRule>
    <cfRule type="expression" dxfId="89" priority="11">
      <formula>$S$69=TRUE</formula>
    </cfRule>
    <cfRule type="expression" dxfId="88" priority="14">
      <formula>$S$62=TRUE</formula>
    </cfRule>
    <cfRule type="expression" dxfId="87" priority="250">
      <formula>$T$57=TRUE</formula>
    </cfRule>
  </conditionalFormatting>
  <conditionalFormatting sqref="I139:L139">
    <cfRule type="expression" dxfId="86" priority="242">
      <formula>$T$57=TRUE</formula>
    </cfRule>
  </conditionalFormatting>
  <conditionalFormatting sqref="H136:H138">
    <cfRule type="expression" dxfId="85" priority="237">
      <formula>$T$57=TRUE</formula>
    </cfRule>
  </conditionalFormatting>
  <conditionalFormatting sqref="H139">
    <cfRule type="expression" dxfId="84" priority="236">
      <formula>$T$57=TRUE</formula>
    </cfRule>
  </conditionalFormatting>
  <conditionalFormatting sqref="C142:L143">
    <cfRule type="expression" dxfId="83" priority="228">
      <formula>$T$57=TRUE</formula>
    </cfRule>
  </conditionalFormatting>
  <conditionalFormatting sqref="C146:F146 C147:G147 L146 J146">
    <cfRule type="expression" dxfId="82" priority="222">
      <formula>$T$57=TRUE</formula>
    </cfRule>
  </conditionalFormatting>
  <conditionalFormatting sqref="C148:G157">
    <cfRule type="expression" dxfId="81" priority="226">
      <formula>$T$57</formula>
    </cfRule>
  </conditionalFormatting>
  <conditionalFormatting sqref="C148:G157">
    <cfRule type="expression" dxfId="80" priority="221">
      <formula>$T$57=TRUE</formula>
    </cfRule>
  </conditionalFormatting>
  <conditionalFormatting sqref="C135:L135">
    <cfRule type="expression" dxfId="79" priority="220">
      <formula>$T$57=TRUE</formula>
    </cfRule>
  </conditionalFormatting>
  <conditionalFormatting sqref="B137:B138">
    <cfRule type="expression" dxfId="78" priority="218">
      <formula>$T$57=TRUE</formula>
    </cfRule>
  </conditionalFormatting>
  <conditionalFormatting sqref="C136:G136">
    <cfRule type="expression" dxfId="77" priority="5">
      <formula>$R$65=TRUE</formula>
    </cfRule>
    <cfRule type="expression" dxfId="76" priority="6">
      <formula>$R$69=TRUE</formula>
    </cfRule>
    <cfRule type="expression" dxfId="75" priority="8">
      <formula>$R$68=TRUE</formula>
    </cfRule>
    <cfRule type="expression" dxfId="74" priority="9">
      <formula>$R$67=TRUE</formula>
    </cfRule>
    <cfRule type="expression" dxfId="73" priority="15">
      <formula>$S$62=TRUE</formula>
    </cfRule>
    <cfRule type="expression" dxfId="72" priority="214">
      <formula>$T$57=TRUE</formula>
    </cfRule>
  </conditionalFormatting>
  <conditionalFormatting sqref="B136">
    <cfRule type="expression" dxfId="71" priority="213">
      <formula>$T$57=TRUE</formula>
    </cfRule>
  </conditionalFormatting>
  <conditionalFormatting sqref="BH186">
    <cfRule type="expression" dxfId="70" priority="80">
      <formula>$AN$162=TRUE</formula>
    </cfRule>
  </conditionalFormatting>
  <conditionalFormatting sqref="I122:I125">
    <cfRule type="expression" dxfId="69" priority="448">
      <formula>$V$91=TRUE</formula>
    </cfRule>
  </conditionalFormatting>
  <conditionalFormatting sqref="C122:C125">
    <cfRule type="expression" dxfId="68" priority="449">
      <formula>$U$91=TRUE</formula>
    </cfRule>
  </conditionalFormatting>
  <conditionalFormatting sqref="D122:G125">
    <cfRule type="expression" dxfId="67" priority="450">
      <formula>$U$91=TRUE</formula>
    </cfRule>
  </conditionalFormatting>
  <conditionalFormatting sqref="M136:M138">
    <cfRule type="expression" dxfId="66" priority="78">
      <formula>$T$57=TRUE</formula>
    </cfRule>
  </conditionalFormatting>
  <conditionalFormatting sqref="H131:H133">
    <cfRule type="expression" dxfId="65" priority="77">
      <formula>$S$49=TRUE</formula>
    </cfRule>
  </conditionalFormatting>
  <conditionalFormatting sqref="C133:G133">
    <cfRule type="expression" dxfId="64" priority="76">
      <formula>$S$49=TRUE</formula>
    </cfRule>
  </conditionalFormatting>
  <conditionalFormatting sqref="B131:B133">
    <cfRule type="expression" dxfId="63" priority="75">
      <formula>$S$49=TRUE</formula>
    </cfRule>
  </conditionalFormatting>
  <conditionalFormatting sqref="C130:G130">
    <cfRule type="expression" dxfId="62" priority="74">
      <formula>$S$49=TRUE</formula>
    </cfRule>
  </conditionalFormatting>
  <conditionalFormatting sqref="C131:G133">
    <cfRule type="expression" dxfId="61" priority="73">
      <formula>$S$49=TRUE</formula>
    </cfRule>
  </conditionalFormatting>
  <conditionalFormatting sqref="N148">
    <cfRule type="expression" dxfId="60" priority="70">
      <formula>$T$57=TRUE</formula>
    </cfRule>
  </conditionalFormatting>
  <conditionalFormatting sqref="N148">
    <cfRule type="expression" dxfId="59" priority="69">
      <formula>$T$57=TRUE</formula>
    </cfRule>
  </conditionalFormatting>
  <conditionalFormatting sqref="N146:N147">
    <cfRule type="expression" dxfId="58" priority="67">
      <formula>$T$57=TRUE</formula>
    </cfRule>
    <cfRule type="expression" dxfId="57" priority="68">
      <formula>$T$57=TRUE</formula>
    </cfRule>
  </conditionalFormatting>
  <conditionalFormatting sqref="H146">
    <cfRule type="expression" dxfId="56" priority="54">
      <formula>$T$57=TRUE</formula>
    </cfRule>
  </conditionalFormatting>
  <conditionalFormatting sqref="H148:I157">
    <cfRule type="expression" dxfId="55" priority="53">
      <formula>$T$57=TRUE</formula>
    </cfRule>
  </conditionalFormatting>
  <conditionalFormatting sqref="H148:I157">
    <cfRule type="expression" dxfId="54" priority="52">
      <formula>$T$57=TRUE</formula>
    </cfRule>
  </conditionalFormatting>
  <conditionalFormatting sqref="H148:I157">
    <cfRule type="expression" dxfId="53" priority="51">
      <formula>$T$57</formula>
    </cfRule>
  </conditionalFormatting>
  <conditionalFormatting sqref="J148:J157">
    <cfRule type="expression" dxfId="52" priority="50">
      <formula>$T$57=TRUE</formula>
    </cfRule>
  </conditionalFormatting>
  <conditionalFormatting sqref="J148:J157">
    <cfRule type="expression" dxfId="51" priority="49">
      <formula>$T$57=TRUE</formula>
    </cfRule>
  </conditionalFormatting>
  <conditionalFormatting sqref="K148:K157">
    <cfRule type="expression" dxfId="50" priority="48">
      <formula>$T$57=TRUE</formula>
    </cfRule>
  </conditionalFormatting>
  <conditionalFormatting sqref="K148:K157">
    <cfRule type="expression" dxfId="49" priority="47">
      <formula>$T$57=TRUE</formula>
    </cfRule>
  </conditionalFormatting>
  <conditionalFormatting sqref="L149:L157">
    <cfRule type="expression" dxfId="48" priority="41">
      <formula>$T$57=TRUE</formula>
    </cfRule>
  </conditionalFormatting>
  <conditionalFormatting sqref="L149:L157">
    <cfRule type="expression" dxfId="47" priority="40">
      <formula>$T$57=TRUE</formula>
    </cfRule>
  </conditionalFormatting>
  <conditionalFormatting sqref="L148">
    <cfRule type="expression" dxfId="46" priority="39">
      <formula>$T$57=TRUE</formula>
    </cfRule>
  </conditionalFormatting>
  <conditionalFormatting sqref="L148">
    <cfRule type="expression" dxfId="45" priority="38">
      <formula>$T$57=TRUE</formula>
    </cfRule>
  </conditionalFormatting>
  <conditionalFormatting sqref="L146:L147">
    <cfRule type="expression" dxfId="44" priority="36">
      <formula>$T$57=TRUE</formula>
    </cfRule>
  </conditionalFormatting>
  <conditionalFormatting sqref="J146:K147">
    <cfRule type="expression" dxfId="43" priority="35">
      <formula>$T$57=TRUE</formula>
    </cfRule>
  </conditionalFormatting>
  <conditionalFormatting sqref="H146:I147">
    <cfRule type="expression" dxfId="42" priority="34">
      <formula>$T$57=TRUE</formula>
    </cfRule>
  </conditionalFormatting>
  <conditionalFormatting sqref="F146:G146">
    <cfRule type="expression" dxfId="41" priority="33">
      <formula>$T$57=TRUE</formula>
    </cfRule>
  </conditionalFormatting>
  <conditionalFormatting sqref="G147">
    <cfRule type="expression" dxfId="40" priority="32">
      <formula>$T$57=TRUE</formula>
    </cfRule>
  </conditionalFormatting>
  <conditionalFormatting sqref="F147">
    <cfRule type="expression" dxfId="39" priority="31">
      <formula>$T$57=TRUE</formula>
    </cfRule>
  </conditionalFormatting>
  <conditionalFormatting sqref="E146:E147">
    <cfRule type="expression" dxfId="38" priority="30">
      <formula>$T$57=TRUE</formula>
    </cfRule>
  </conditionalFormatting>
  <conditionalFormatting sqref="C146:D147">
    <cfRule type="expression" dxfId="37" priority="29">
      <formula>$T$57=TRUE</formula>
    </cfRule>
  </conditionalFormatting>
  <conditionalFormatting sqref="J148:K148">
    <cfRule type="expression" dxfId="36" priority="28">
      <formula>$Y$156=FALSE</formula>
    </cfRule>
  </conditionalFormatting>
  <conditionalFormatting sqref="J149:K149">
    <cfRule type="expression" dxfId="35" priority="27">
      <formula>$Y$157=FALSE</formula>
    </cfRule>
  </conditionalFormatting>
  <conditionalFormatting sqref="J150:K150">
    <cfRule type="expression" dxfId="34" priority="26">
      <formula>$Y$158=FALSE</formula>
    </cfRule>
  </conditionalFormatting>
  <conditionalFormatting sqref="J151:K151">
    <cfRule type="expression" dxfId="33" priority="25">
      <formula>$Y$159=FALSE</formula>
    </cfRule>
  </conditionalFormatting>
  <conditionalFormatting sqref="J152:K152">
    <cfRule type="expression" dxfId="32" priority="24">
      <formula>$Y$160=FALSE</formula>
    </cfRule>
  </conditionalFormatting>
  <conditionalFormatting sqref="J153:K153">
    <cfRule type="expression" dxfId="31" priority="23">
      <formula>$Y$161=FALSE</formula>
    </cfRule>
  </conditionalFormatting>
  <conditionalFormatting sqref="J154:K154">
    <cfRule type="expression" dxfId="30" priority="22">
      <formula>$Y$162=FALSE</formula>
    </cfRule>
  </conditionalFormatting>
  <conditionalFormatting sqref="J155:K155">
    <cfRule type="expression" dxfId="29" priority="21">
      <formula>$Y$163=FALSE</formula>
    </cfRule>
  </conditionalFormatting>
  <conditionalFormatting sqref="J156:K156">
    <cfRule type="expression" dxfId="28" priority="20">
      <formula>$Y$164=FALSE</formula>
    </cfRule>
  </conditionalFormatting>
  <conditionalFormatting sqref="J157:K157">
    <cfRule type="expression" dxfId="27" priority="19">
      <formula>$Y$165=FALSE</formula>
    </cfRule>
  </conditionalFormatting>
  <conditionalFormatting sqref="C159:L161">
    <cfRule type="expression" dxfId="26" priority="18">
      <formula>$T$166=FALSE</formula>
    </cfRule>
  </conditionalFormatting>
  <conditionalFormatting sqref="C148:L157">
    <cfRule type="expression" dxfId="25" priority="16">
      <formula>$Q$46=TRUE</formula>
    </cfRule>
  </conditionalFormatting>
  <conditionalFormatting sqref="D90:G92">
    <cfRule type="expression" dxfId="24" priority="486">
      <formula>$U$85=TRUE</formula>
    </cfRule>
  </conditionalFormatting>
  <conditionalFormatting sqref="L90:O92">
    <cfRule type="expression" dxfId="23" priority="487">
      <formula>$U$85=TRUE</formula>
    </cfRule>
  </conditionalFormatting>
  <conditionalFormatting sqref="L94:O99">
    <cfRule type="expression" dxfId="22" priority="491">
      <formula>$U$86=TRUE</formula>
    </cfRule>
  </conditionalFormatting>
  <conditionalFormatting sqref="L116:O120">
    <cfRule type="expression" dxfId="21" priority="504">
      <formula>$U$90=TRUE</formula>
    </cfRule>
  </conditionalFormatting>
  <conditionalFormatting sqref="L122:O125">
    <cfRule type="expression" dxfId="20" priority="509">
      <formula>$V$91=TRUE</formula>
    </cfRule>
  </conditionalFormatting>
  <conditionalFormatting sqref="D84:G88">
    <cfRule type="expression" dxfId="19" priority="516">
      <formula>$U$84=TRUE</formula>
    </cfRule>
  </conditionalFormatting>
  <conditionalFormatting sqref="I136:L138">
    <cfRule type="expression" dxfId="18" priority="520">
      <formula>$V$94=TRUE</formula>
    </cfRule>
    <cfRule type="expression" dxfId="17" priority="521">
      <formula>$T$57=TRUE</formula>
    </cfRule>
  </conditionalFormatting>
  <conditionalFormatting sqref="N136:N138">
    <cfRule type="expression" dxfId="16" priority="522">
      <formula>$V$94=TRUE</formula>
    </cfRule>
  </conditionalFormatting>
  <conditionalFormatting sqref="L127:O129">
    <cfRule type="expression" dxfId="15" priority="523">
      <formula>$U$92=TRUE</formula>
    </cfRule>
  </conditionalFormatting>
  <conditionalFormatting sqref="I127:I129">
    <cfRule type="expression" dxfId="14" priority="524">
      <formula>$V$92=TRUE</formula>
    </cfRule>
  </conditionalFormatting>
  <conditionalFormatting sqref="C127:C129">
    <cfRule type="expression" dxfId="13" priority="525">
      <formula>$U$92=TRUE</formula>
    </cfRule>
  </conditionalFormatting>
  <conditionalFormatting sqref="D127:G129">
    <cfRule type="expression" dxfId="12" priority="526">
      <formula>$U$92=TRUE</formula>
    </cfRule>
  </conditionalFormatting>
  <conditionalFormatting sqref="C137:G138">
    <cfRule type="expression" dxfId="11" priority="527">
      <formula>$U$94=TRUE</formula>
    </cfRule>
    <cfRule type="expression" dxfId="10" priority="528">
      <formula>$T$57=TRUE</formula>
    </cfRule>
  </conditionalFormatting>
  <conditionalFormatting sqref="C136:G138">
    <cfRule type="expression" dxfId="9" priority="529">
      <formula>$U$94=TRUE</formula>
    </cfRule>
  </conditionalFormatting>
  <conditionalFormatting sqref="C139:G140">
    <cfRule type="expression" dxfId="8" priority="1">
      <formula>$R$69=TRUE</formula>
    </cfRule>
    <cfRule type="expression" dxfId="7" priority="530">
      <formula>$T$57=TRUE</formula>
    </cfRule>
    <cfRule type="expression" dxfId="6" priority="531">
      <formula>$U$95=TRUE</formula>
    </cfRule>
    <cfRule type="expression" dxfId="5" priority="532">
      <formula>$U$95=TRUE</formula>
    </cfRule>
  </conditionalFormatting>
  <conditionalFormatting sqref="H136:H138">
    <cfRule type="expression" dxfId="4" priority="533">
      <formula>$V$94=TRUE</formula>
    </cfRule>
    <cfRule type="expression" dxfId="3" priority="534">
      <formula>$U$94=TRUE</formula>
    </cfRule>
  </conditionalFormatting>
  <conditionalFormatting sqref="H139:H140">
    <cfRule type="expression" dxfId="2" priority="535">
      <formula>$U$95=TRUE</formula>
    </cfRule>
  </conditionalFormatting>
  <conditionalFormatting sqref="I135:L135">
    <cfRule type="expression" dxfId="1" priority="536">
      <formula>$V$94=TRUE</formula>
    </cfRule>
  </conditionalFormatting>
  <conditionalFormatting sqref="C136:G136">
    <cfRule type="expression" dxfId="0" priority="537">
      <formula>$U$94=TRUE</formula>
    </cfRule>
  </conditionalFormatting>
  <dataValidations count="6">
    <dataValidation allowBlank="1" showInputMessage="1" showErrorMessage="1" promptTitle="Type egendeklarasjon" sqref="D16" xr:uid="{00000000-0002-0000-0000-000000000000}"/>
    <dataValidation type="list" allowBlank="1" showInputMessage="1" showErrorMessage="1" errorTitle="Feil data..." error="Du kan bare velge mellom vannbasert (VB) eller løsemiddelbasert (LB)._x000a_" sqref="H148:I157" xr:uid="{00000000-0002-0000-0000-000001000000}">
      <formula1>$S$154:$S$155</formula1>
    </dataValidation>
    <dataValidation type="list" allowBlank="1" showInputMessage="1" showErrorMessage="1" errorTitle="Feil data..." error="Du kan bare velge mellom Ja og Nei." sqref="L148:L157" xr:uid="{00000000-0002-0000-0000-000002000000}">
      <formula1>$S$152:$S$153</formula1>
    </dataValidation>
    <dataValidation type="list" allowBlank="1" showInputMessage="1" showErrorMessage="1" errorTitle="Feil data..." error="Du må velge mellom a og l..." sqref="E148:E157" xr:uid="{00000000-0002-0000-0000-000003000000}">
      <formula1>$S$156:$S$167</formula1>
    </dataValidation>
    <dataValidation type="list" allowBlank="1" showInputMessage="1" showErrorMessage="1" sqref="K148:K157" xr:uid="{00000000-0002-0000-0000-000004000000}">
      <formula1>$T$152:$T$153</formula1>
    </dataValidation>
    <dataValidation type="list" allowBlank="1" showInputMessage="1" showErrorMessage="1" sqref="G148:G157" xr:uid="{00000000-0002-0000-0000-000005000000}">
      <formula1>$T$155</formula1>
    </dataValidation>
  </dataValidations>
  <hyperlinks>
    <hyperlink ref="L174" location="'Ark1'!A1" display="Tilbake til utfylling" xr:uid="{00000000-0004-0000-0000-000000000000}"/>
    <hyperlink ref="P130" location="'Ark1'!Utskriftsområde" display="'Ark1'!Utskriftsområde" xr:uid="{00000000-0004-0000-0000-000001000000}"/>
    <hyperlink ref="P126" location="'Ark1'!Utskriftsområde" display="'Ark1'!Utskriftsområde" xr:uid="{00000000-0004-0000-0000-000002000000}"/>
    <hyperlink ref="P110" location="'Ark1'!Utskriftsområde" display="'Ark1'!Utskriftsområde" xr:uid="{00000000-0004-0000-0000-000003000000}"/>
    <hyperlink ref="P105" location="'Ark1'!Utskriftsområde" display="'Ark1'!Utskriftsområde" xr:uid="{00000000-0004-0000-0000-000004000000}"/>
    <hyperlink ref="P83" location="'Ark1'!Utskriftsområde" display="'Ark1'!Utskriftsområde" xr:uid="{00000000-0004-0000-0000-000005000000}"/>
    <hyperlink ref="O158" location="'Ark1'!Utskriftsområde" display="'Ark1'!Utskriftsområde" xr:uid="{00000000-0004-0000-0000-000006000000}"/>
    <hyperlink ref="P121" location="'Ark1'!Utskriftsområde" display="'Ark1'!Utskriftsområde" xr:uid="{00000000-0004-0000-0000-000007000000}"/>
    <hyperlink ref="P115" location="'Ark1'!Utskriftsområde" display="'Ark1'!Utskriftsområde" xr:uid="{00000000-0004-0000-0000-000008000000}"/>
    <hyperlink ref="P89" location="'Ark1'!C163" display="'Ark1'!C163" xr:uid="{00000000-0004-0000-0000-000009000000}"/>
  </hyperlinks>
  <pageMargins left="0.23622047244094491" right="0.23622047244094491" top="0.74803149606299213" bottom="0.74803149606299213" header="0.31496062992125984" footer="0.31496062992125984"/>
  <pageSetup paperSize="9" scale="86" orientation="portrait" r:id="rId1"/>
  <rowBreaks count="3" manualBreakCount="3">
    <brk id="112" min="1" max="62" man="1"/>
    <brk id="171" min="1" max="61" man="1"/>
    <brk id="227" max="16383" man="1"/>
  </rowBreaks>
  <colBreaks count="4" manualBreakCount="4">
    <brk id="8" max="269" man="1"/>
    <brk id="16" max="1048575" man="1"/>
    <brk id="23" min="1" max="239" man="1"/>
    <brk id="6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Drop Down 4">
              <controlPr defaultSize="0" autoLine="0" autoPict="0">
                <anchor moveWithCells="1">
                  <from>
                    <xdr:col>2</xdr:col>
                    <xdr:colOff>0</xdr:colOff>
                    <xdr:row>16</xdr:row>
                    <xdr:rowOff>30480</xdr:rowOff>
                  </from>
                  <to>
                    <xdr:col>6</xdr:col>
                    <xdr:colOff>0</xdr:colOff>
                    <xdr:row>17</xdr:row>
                    <xdr:rowOff>99060</xdr:rowOff>
                  </to>
                </anchor>
              </controlPr>
            </control>
          </mc:Choice>
        </mc:AlternateContent>
        <mc:AlternateContent xmlns:mc="http://schemas.openxmlformats.org/markup-compatibility/2006">
          <mc:Choice Requires="x14">
            <control shapeId="1029" r:id="rId5" name="Drop Down 5">
              <controlPr defaultSize="0" autoLine="0" autoPict="0">
                <anchor moveWithCells="1">
                  <from>
                    <xdr:col>2</xdr:col>
                    <xdr:colOff>7620</xdr:colOff>
                    <xdr:row>20</xdr:row>
                    <xdr:rowOff>22860</xdr:rowOff>
                  </from>
                  <to>
                    <xdr:col>6</xdr:col>
                    <xdr:colOff>0</xdr:colOff>
                    <xdr:row>21</xdr:row>
                    <xdr:rowOff>76200</xdr:rowOff>
                  </to>
                </anchor>
              </controlPr>
            </control>
          </mc:Choice>
        </mc:AlternateContent>
        <mc:AlternateContent xmlns:mc="http://schemas.openxmlformats.org/markup-compatibility/2006">
          <mc:Choice Requires="x14">
            <control shapeId="1030" r:id="rId6" name="Drop Down 6">
              <controlPr defaultSize="0" autoLine="0" autoPict="0">
                <anchor moveWithCells="1">
                  <from>
                    <xdr:col>2</xdr:col>
                    <xdr:colOff>22860</xdr:colOff>
                    <xdr:row>24</xdr:row>
                    <xdr:rowOff>22860</xdr:rowOff>
                  </from>
                  <to>
                    <xdr:col>6</xdr:col>
                    <xdr:colOff>0</xdr:colOff>
                    <xdr:row>25</xdr:row>
                    <xdr:rowOff>76200</xdr:rowOff>
                  </to>
                </anchor>
              </controlPr>
            </control>
          </mc:Choice>
        </mc:AlternateContent>
        <mc:AlternateContent xmlns:mc="http://schemas.openxmlformats.org/markup-compatibility/2006">
          <mc:Choice Requires="x14">
            <control shapeId="1046" r:id="rId7" name="Group Box 22">
              <controlPr defaultSize="0" autoFill="0" autoPict="0">
                <anchor moveWithCells="1">
                  <from>
                    <xdr:col>9</xdr:col>
                    <xdr:colOff>190500</xdr:colOff>
                    <xdr:row>78</xdr:row>
                    <xdr:rowOff>190500</xdr:rowOff>
                  </from>
                  <to>
                    <xdr:col>10</xdr:col>
                    <xdr:colOff>769620</xdr:colOff>
                    <xdr:row>82</xdr:row>
                    <xdr:rowOff>22860</xdr:rowOff>
                  </to>
                </anchor>
              </controlPr>
            </control>
          </mc:Choice>
        </mc:AlternateContent>
        <mc:AlternateContent xmlns:mc="http://schemas.openxmlformats.org/markup-compatibility/2006">
          <mc:Choice Requires="x14">
            <control shapeId="1047" r:id="rId8" name="Group Box 23">
              <controlPr defaultSize="0" autoFill="0" autoPict="0">
                <anchor moveWithCells="1">
                  <from>
                    <xdr:col>9</xdr:col>
                    <xdr:colOff>190500</xdr:colOff>
                    <xdr:row>83</xdr:row>
                    <xdr:rowOff>0</xdr:rowOff>
                  </from>
                  <to>
                    <xdr:col>10</xdr:col>
                    <xdr:colOff>769620</xdr:colOff>
                    <xdr:row>88</xdr:row>
                    <xdr:rowOff>22860</xdr:rowOff>
                  </to>
                </anchor>
              </controlPr>
            </control>
          </mc:Choice>
        </mc:AlternateContent>
        <mc:AlternateContent xmlns:mc="http://schemas.openxmlformats.org/markup-compatibility/2006">
          <mc:Choice Requires="x14">
            <control shapeId="1048" r:id="rId9" name="Group Box 24">
              <controlPr defaultSize="0" autoFill="0" autoPict="0">
                <anchor moveWithCells="1">
                  <from>
                    <xdr:col>9</xdr:col>
                    <xdr:colOff>190500</xdr:colOff>
                    <xdr:row>89</xdr:row>
                    <xdr:rowOff>0</xdr:rowOff>
                  </from>
                  <to>
                    <xdr:col>10</xdr:col>
                    <xdr:colOff>769620</xdr:colOff>
                    <xdr:row>92</xdr:row>
                    <xdr:rowOff>22860</xdr:rowOff>
                  </to>
                </anchor>
              </controlPr>
            </control>
          </mc:Choice>
        </mc:AlternateContent>
        <mc:AlternateContent xmlns:mc="http://schemas.openxmlformats.org/markup-compatibility/2006">
          <mc:Choice Requires="x14">
            <control shapeId="1049" r:id="rId10" name="Group Box 25">
              <controlPr defaultSize="0" autoFill="0" autoPict="0">
                <anchor moveWithCells="1">
                  <from>
                    <xdr:col>9</xdr:col>
                    <xdr:colOff>190500</xdr:colOff>
                    <xdr:row>93</xdr:row>
                    <xdr:rowOff>0</xdr:rowOff>
                  </from>
                  <to>
                    <xdr:col>10</xdr:col>
                    <xdr:colOff>769620</xdr:colOff>
                    <xdr:row>99</xdr:row>
                    <xdr:rowOff>7620</xdr:rowOff>
                  </to>
                </anchor>
              </controlPr>
            </control>
          </mc:Choice>
        </mc:AlternateContent>
        <mc:AlternateContent xmlns:mc="http://schemas.openxmlformats.org/markup-compatibility/2006">
          <mc:Choice Requires="x14">
            <control shapeId="1050" r:id="rId11" name="Group Box 26">
              <controlPr defaultSize="0" autoFill="0" autoPict="0">
                <anchor moveWithCells="1">
                  <from>
                    <xdr:col>9</xdr:col>
                    <xdr:colOff>198120</xdr:colOff>
                    <xdr:row>99</xdr:row>
                    <xdr:rowOff>190500</xdr:rowOff>
                  </from>
                  <to>
                    <xdr:col>10</xdr:col>
                    <xdr:colOff>784860</xdr:colOff>
                    <xdr:row>104</xdr:row>
                    <xdr:rowOff>7620</xdr:rowOff>
                  </to>
                </anchor>
              </controlPr>
            </control>
          </mc:Choice>
        </mc:AlternateContent>
        <mc:AlternateContent xmlns:mc="http://schemas.openxmlformats.org/markup-compatibility/2006">
          <mc:Choice Requires="x14">
            <control shapeId="1051" r:id="rId12" name="Group Box 27">
              <controlPr defaultSize="0" autoFill="0" autoPict="0">
                <anchor moveWithCells="1">
                  <from>
                    <xdr:col>9</xdr:col>
                    <xdr:colOff>190500</xdr:colOff>
                    <xdr:row>105</xdr:row>
                    <xdr:rowOff>0</xdr:rowOff>
                  </from>
                  <to>
                    <xdr:col>10</xdr:col>
                    <xdr:colOff>784860</xdr:colOff>
                    <xdr:row>109</xdr:row>
                    <xdr:rowOff>7620</xdr:rowOff>
                  </to>
                </anchor>
              </controlPr>
            </control>
          </mc:Choice>
        </mc:AlternateContent>
        <mc:AlternateContent xmlns:mc="http://schemas.openxmlformats.org/markup-compatibility/2006">
          <mc:Choice Requires="x14">
            <control shapeId="1052" r:id="rId13" name="Group Box 28">
              <controlPr defaultSize="0" autoFill="0" autoPict="0">
                <anchor moveWithCells="1">
                  <from>
                    <xdr:col>9</xdr:col>
                    <xdr:colOff>198120</xdr:colOff>
                    <xdr:row>109</xdr:row>
                    <xdr:rowOff>190500</xdr:rowOff>
                  </from>
                  <to>
                    <xdr:col>10</xdr:col>
                    <xdr:colOff>784860</xdr:colOff>
                    <xdr:row>114</xdr:row>
                    <xdr:rowOff>0</xdr:rowOff>
                  </to>
                </anchor>
              </controlPr>
            </control>
          </mc:Choice>
        </mc:AlternateContent>
        <mc:AlternateContent xmlns:mc="http://schemas.openxmlformats.org/markup-compatibility/2006">
          <mc:Choice Requires="x14">
            <control shapeId="1053" r:id="rId14" name="Group Box 29">
              <controlPr defaultSize="0" autoFill="0" autoPict="0">
                <anchor moveWithCells="1">
                  <from>
                    <xdr:col>9</xdr:col>
                    <xdr:colOff>190500</xdr:colOff>
                    <xdr:row>115</xdr:row>
                    <xdr:rowOff>0</xdr:rowOff>
                  </from>
                  <to>
                    <xdr:col>10</xdr:col>
                    <xdr:colOff>769620</xdr:colOff>
                    <xdr:row>120</xdr:row>
                    <xdr:rowOff>0</xdr:rowOff>
                  </to>
                </anchor>
              </controlPr>
            </control>
          </mc:Choice>
        </mc:AlternateContent>
        <mc:AlternateContent xmlns:mc="http://schemas.openxmlformats.org/markup-compatibility/2006">
          <mc:Choice Requires="x14">
            <control shapeId="1054" r:id="rId15" name="Group Box 30">
              <controlPr defaultSize="0" autoFill="0" autoPict="0">
                <anchor moveWithCells="1">
                  <from>
                    <xdr:col>9</xdr:col>
                    <xdr:colOff>198120</xdr:colOff>
                    <xdr:row>120</xdr:row>
                    <xdr:rowOff>190500</xdr:rowOff>
                  </from>
                  <to>
                    <xdr:col>10</xdr:col>
                    <xdr:colOff>784860</xdr:colOff>
                    <xdr:row>125</xdr:row>
                    <xdr:rowOff>0</xdr:rowOff>
                  </to>
                </anchor>
              </controlPr>
            </control>
          </mc:Choice>
        </mc:AlternateContent>
        <mc:AlternateContent xmlns:mc="http://schemas.openxmlformats.org/markup-compatibility/2006">
          <mc:Choice Requires="x14">
            <control shapeId="1056" r:id="rId16" name="Option Button 32">
              <controlPr defaultSize="0" autoFill="0" autoLine="0" autoPict="0">
                <anchor moveWithCells="1">
                  <from>
                    <xdr:col>9</xdr:col>
                    <xdr:colOff>304800</xdr:colOff>
                    <xdr:row>79</xdr:row>
                    <xdr:rowOff>137160</xdr:rowOff>
                  </from>
                  <to>
                    <xdr:col>9</xdr:col>
                    <xdr:colOff>716280</xdr:colOff>
                    <xdr:row>81</xdr:row>
                    <xdr:rowOff>68580</xdr:rowOff>
                  </to>
                </anchor>
              </controlPr>
            </control>
          </mc:Choice>
        </mc:AlternateContent>
        <mc:AlternateContent xmlns:mc="http://schemas.openxmlformats.org/markup-compatibility/2006">
          <mc:Choice Requires="x14">
            <control shapeId="1057" r:id="rId17" name="Option Button 33">
              <controlPr defaultSize="0" autoFill="0" autoLine="0" autoPict="0">
                <anchor moveWithCells="1">
                  <from>
                    <xdr:col>10</xdr:col>
                    <xdr:colOff>266700</xdr:colOff>
                    <xdr:row>79</xdr:row>
                    <xdr:rowOff>137160</xdr:rowOff>
                  </from>
                  <to>
                    <xdr:col>10</xdr:col>
                    <xdr:colOff>693420</xdr:colOff>
                    <xdr:row>81</xdr:row>
                    <xdr:rowOff>68580</xdr:rowOff>
                  </to>
                </anchor>
              </controlPr>
            </control>
          </mc:Choice>
        </mc:AlternateContent>
        <mc:AlternateContent xmlns:mc="http://schemas.openxmlformats.org/markup-compatibility/2006">
          <mc:Choice Requires="x14">
            <control shapeId="1059" r:id="rId18" name="Option Button 35">
              <controlPr defaultSize="0" autoFill="0" autoLine="0" autoPict="0">
                <anchor moveWithCells="1">
                  <from>
                    <xdr:col>9</xdr:col>
                    <xdr:colOff>304800</xdr:colOff>
                    <xdr:row>84</xdr:row>
                    <xdr:rowOff>144780</xdr:rowOff>
                  </from>
                  <to>
                    <xdr:col>9</xdr:col>
                    <xdr:colOff>716280</xdr:colOff>
                    <xdr:row>86</xdr:row>
                    <xdr:rowOff>76200</xdr:rowOff>
                  </to>
                </anchor>
              </controlPr>
            </control>
          </mc:Choice>
        </mc:AlternateContent>
        <mc:AlternateContent xmlns:mc="http://schemas.openxmlformats.org/markup-compatibility/2006">
          <mc:Choice Requires="x14">
            <control shapeId="1060" r:id="rId19" name="Option Button 36">
              <controlPr defaultSize="0" autoFill="0" autoLine="0" autoPict="0">
                <anchor moveWithCells="1">
                  <from>
                    <xdr:col>10</xdr:col>
                    <xdr:colOff>266700</xdr:colOff>
                    <xdr:row>84</xdr:row>
                    <xdr:rowOff>144780</xdr:rowOff>
                  </from>
                  <to>
                    <xdr:col>10</xdr:col>
                    <xdr:colOff>693420</xdr:colOff>
                    <xdr:row>86</xdr:row>
                    <xdr:rowOff>76200</xdr:rowOff>
                  </to>
                </anchor>
              </controlPr>
            </control>
          </mc:Choice>
        </mc:AlternateContent>
        <mc:AlternateContent xmlns:mc="http://schemas.openxmlformats.org/markup-compatibility/2006">
          <mc:Choice Requires="x14">
            <control shapeId="1064" r:id="rId20" name="Option Button 40">
              <controlPr defaultSize="0" autoFill="0" autoLine="0" autoPict="0">
                <anchor moveWithCells="1">
                  <from>
                    <xdr:col>9</xdr:col>
                    <xdr:colOff>304800</xdr:colOff>
                    <xdr:row>89</xdr:row>
                    <xdr:rowOff>144780</xdr:rowOff>
                  </from>
                  <to>
                    <xdr:col>9</xdr:col>
                    <xdr:colOff>716280</xdr:colOff>
                    <xdr:row>91</xdr:row>
                    <xdr:rowOff>76200</xdr:rowOff>
                  </to>
                </anchor>
              </controlPr>
            </control>
          </mc:Choice>
        </mc:AlternateContent>
        <mc:AlternateContent xmlns:mc="http://schemas.openxmlformats.org/markup-compatibility/2006">
          <mc:Choice Requires="x14">
            <control shapeId="1065" r:id="rId21" name="Option Button 41">
              <controlPr defaultSize="0" autoFill="0" autoLine="0" autoPict="0">
                <anchor moveWithCells="1">
                  <from>
                    <xdr:col>10</xdr:col>
                    <xdr:colOff>266700</xdr:colOff>
                    <xdr:row>89</xdr:row>
                    <xdr:rowOff>144780</xdr:rowOff>
                  </from>
                  <to>
                    <xdr:col>10</xdr:col>
                    <xdr:colOff>693420</xdr:colOff>
                    <xdr:row>91</xdr:row>
                    <xdr:rowOff>76200</xdr:rowOff>
                  </to>
                </anchor>
              </controlPr>
            </control>
          </mc:Choice>
        </mc:AlternateContent>
        <mc:AlternateContent xmlns:mc="http://schemas.openxmlformats.org/markup-compatibility/2006">
          <mc:Choice Requires="x14">
            <control shapeId="1066" r:id="rId22" name="Option Button 42">
              <controlPr defaultSize="0" autoFill="0" autoLine="0" autoPict="0">
                <anchor moveWithCells="1">
                  <from>
                    <xdr:col>9</xdr:col>
                    <xdr:colOff>304800</xdr:colOff>
                    <xdr:row>95</xdr:row>
                    <xdr:rowOff>38100</xdr:rowOff>
                  </from>
                  <to>
                    <xdr:col>9</xdr:col>
                    <xdr:colOff>716280</xdr:colOff>
                    <xdr:row>96</xdr:row>
                    <xdr:rowOff>160020</xdr:rowOff>
                  </to>
                </anchor>
              </controlPr>
            </control>
          </mc:Choice>
        </mc:AlternateContent>
        <mc:AlternateContent xmlns:mc="http://schemas.openxmlformats.org/markup-compatibility/2006">
          <mc:Choice Requires="x14">
            <control shapeId="1067" r:id="rId23" name="Option Button 43">
              <controlPr defaultSize="0" autoFill="0" autoLine="0" autoPict="0">
                <anchor moveWithCells="1">
                  <from>
                    <xdr:col>10</xdr:col>
                    <xdr:colOff>266700</xdr:colOff>
                    <xdr:row>95</xdr:row>
                    <xdr:rowOff>38100</xdr:rowOff>
                  </from>
                  <to>
                    <xdr:col>10</xdr:col>
                    <xdr:colOff>693420</xdr:colOff>
                    <xdr:row>96</xdr:row>
                    <xdr:rowOff>160020</xdr:rowOff>
                  </to>
                </anchor>
              </controlPr>
            </control>
          </mc:Choice>
        </mc:AlternateContent>
        <mc:AlternateContent xmlns:mc="http://schemas.openxmlformats.org/markup-compatibility/2006">
          <mc:Choice Requires="x14">
            <control shapeId="1068" r:id="rId24" name="Option Button 44">
              <controlPr defaultSize="0" autoFill="0" autoLine="0" autoPict="0">
                <anchor moveWithCells="1">
                  <from>
                    <xdr:col>9</xdr:col>
                    <xdr:colOff>304800</xdr:colOff>
                    <xdr:row>101</xdr:row>
                    <xdr:rowOff>38100</xdr:rowOff>
                  </from>
                  <to>
                    <xdr:col>9</xdr:col>
                    <xdr:colOff>716280</xdr:colOff>
                    <xdr:row>102</xdr:row>
                    <xdr:rowOff>160020</xdr:rowOff>
                  </to>
                </anchor>
              </controlPr>
            </control>
          </mc:Choice>
        </mc:AlternateContent>
        <mc:AlternateContent xmlns:mc="http://schemas.openxmlformats.org/markup-compatibility/2006">
          <mc:Choice Requires="x14">
            <control shapeId="1069" r:id="rId25" name="Option Button 45">
              <controlPr defaultSize="0" autoFill="0" autoLine="0" autoPict="0">
                <anchor moveWithCells="1">
                  <from>
                    <xdr:col>10</xdr:col>
                    <xdr:colOff>266700</xdr:colOff>
                    <xdr:row>101</xdr:row>
                    <xdr:rowOff>38100</xdr:rowOff>
                  </from>
                  <to>
                    <xdr:col>10</xdr:col>
                    <xdr:colOff>693420</xdr:colOff>
                    <xdr:row>102</xdr:row>
                    <xdr:rowOff>160020</xdr:rowOff>
                  </to>
                </anchor>
              </controlPr>
            </control>
          </mc:Choice>
        </mc:AlternateContent>
        <mc:AlternateContent xmlns:mc="http://schemas.openxmlformats.org/markup-compatibility/2006">
          <mc:Choice Requires="x14">
            <control shapeId="1070" r:id="rId26" name="Option Button 46">
              <controlPr defaultSize="0" autoFill="0" autoLine="0" autoPict="0">
                <anchor moveWithCells="1">
                  <from>
                    <xdr:col>9</xdr:col>
                    <xdr:colOff>304800</xdr:colOff>
                    <xdr:row>106</xdr:row>
                    <xdr:rowOff>38100</xdr:rowOff>
                  </from>
                  <to>
                    <xdr:col>9</xdr:col>
                    <xdr:colOff>716280</xdr:colOff>
                    <xdr:row>107</xdr:row>
                    <xdr:rowOff>160020</xdr:rowOff>
                  </to>
                </anchor>
              </controlPr>
            </control>
          </mc:Choice>
        </mc:AlternateContent>
        <mc:AlternateContent xmlns:mc="http://schemas.openxmlformats.org/markup-compatibility/2006">
          <mc:Choice Requires="x14">
            <control shapeId="1071" r:id="rId27" name="Option Button 47">
              <controlPr defaultSize="0" autoFill="0" autoLine="0" autoPict="0">
                <anchor moveWithCells="1">
                  <from>
                    <xdr:col>9</xdr:col>
                    <xdr:colOff>670560</xdr:colOff>
                    <xdr:row>106</xdr:row>
                    <xdr:rowOff>38100</xdr:rowOff>
                  </from>
                  <to>
                    <xdr:col>10</xdr:col>
                    <xdr:colOff>289560</xdr:colOff>
                    <xdr:row>107</xdr:row>
                    <xdr:rowOff>160020</xdr:rowOff>
                  </to>
                </anchor>
              </controlPr>
            </control>
          </mc:Choice>
        </mc:AlternateContent>
        <mc:AlternateContent xmlns:mc="http://schemas.openxmlformats.org/markup-compatibility/2006">
          <mc:Choice Requires="x14">
            <control shapeId="1072" r:id="rId28" name="Option Button 48">
              <controlPr defaultSize="0" autoFill="0" autoLine="0" autoPict="0">
                <anchor moveWithCells="1">
                  <from>
                    <xdr:col>9</xdr:col>
                    <xdr:colOff>304800</xdr:colOff>
                    <xdr:row>111</xdr:row>
                    <xdr:rowOff>38100</xdr:rowOff>
                  </from>
                  <to>
                    <xdr:col>9</xdr:col>
                    <xdr:colOff>716280</xdr:colOff>
                    <xdr:row>112</xdr:row>
                    <xdr:rowOff>160020</xdr:rowOff>
                  </to>
                </anchor>
              </controlPr>
            </control>
          </mc:Choice>
        </mc:AlternateContent>
        <mc:AlternateContent xmlns:mc="http://schemas.openxmlformats.org/markup-compatibility/2006">
          <mc:Choice Requires="x14">
            <control shapeId="1073" r:id="rId29" name="Option Button 49">
              <controlPr defaultSize="0" autoFill="0" autoLine="0" autoPict="0">
                <anchor moveWithCells="1">
                  <from>
                    <xdr:col>10</xdr:col>
                    <xdr:colOff>266700</xdr:colOff>
                    <xdr:row>111</xdr:row>
                    <xdr:rowOff>38100</xdr:rowOff>
                  </from>
                  <to>
                    <xdr:col>10</xdr:col>
                    <xdr:colOff>693420</xdr:colOff>
                    <xdr:row>112</xdr:row>
                    <xdr:rowOff>160020</xdr:rowOff>
                  </to>
                </anchor>
              </controlPr>
            </control>
          </mc:Choice>
        </mc:AlternateContent>
        <mc:AlternateContent xmlns:mc="http://schemas.openxmlformats.org/markup-compatibility/2006">
          <mc:Choice Requires="x14">
            <control shapeId="1074" r:id="rId30" name="Option Button 50">
              <controlPr defaultSize="0" autoFill="0" autoLine="0" autoPict="0">
                <anchor moveWithCells="1">
                  <from>
                    <xdr:col>9</xdr:col>
                    <xdr:colOff>304800</xdr:colOff>
                    <xdr:row>116</xdr:row>
                    <xdr:rowOff>106680</xdr:rowOff>
                  </from>
                  <to>
                    <xdr:col>9</xdr:col>
                    <xdr:colOff>716280</xdr:colOff>
                    <xdr:row>118</xdr:row>
                    <xdr:rowOff>38100</xdr:rowOff>
                  </to>
                </anchor>
              </controlPr>
            </control>
          </mc:Choice>
        </mc:AlternateContent>
        <mc:AlternateContent xmlns:mc="http://schemas.openxmlformats.org/markup-compatibility/2006">
          <mc:Choice Requires="x14">
            <control shapeId="1075" r:id="rId31" name="Option Button 51">
              <controlPr defaultSize="0" autoFill="0" autoLine="0" autoPict="0">
                <anchor moveWithCells="1">
                  <from>
                    <xdr:col>10</xdr:col>
                    <xdr:colOff>266700</xdr:colOff>
                    <xdr:row>116</xdr:row>
                    <xdr:rowOff>106680</xdr:rowOff>
                  </from>
                  <to>
                    <xdr:col>10</xdr:col>
                    <xdr:colOff>693420</xdr:colOff>
                    <xdr:row>118</xdr:row>
                    <xdr:rowOff>38100</xdr:rowOff>
                  </to>
                </anchor>
              </controlPr>
            </control>
          </mc:Choice>
        </mc:AlternateContent>
        <mc:AlternateContent xmlns:mc="http://schemas.openxmlformats.org/markup-compatibility/2006">
          <mc:Choice Requires="x14">
            <control shapeId="1076" r:id="rId32" name="Option Button 52">
              <controlPr defaultSize="0" autoFill="0" autoLine="0" autoPict="0">
                <anchor moveWithCells="1">
                  <from>
                    <xdr:col>9</xdr:col>
                    <xdr:colOff>304800</xdr:colOff>
                    <xdr:row>122</xdr:row>
                    <xdr:rowOff>38100</xdr:rowOff>
                  </from>
                  <to>
                    <xdr:col>9</xdr:col>
                    <xdr:colOff>716280</xdr:colOff>
                    <xdr:row>123</xdr:row>
                    <xdr:rowOff>160020</xdr:rowOff>
                  </to>
                </anchor>
              </controlPr>
            </control>
          </mc:Choice>
        </mc:AlternateContent>
        <mc:AlternateContent xmlns:mc="http://schemas.openxmlformats.org/markup-compatibility/2006">
          <mc:Choice Requires="x14">
            <control shapeId="1077" r:id="rId33" name="Option Button 53">
              <controlPr defaultSize="0" autoFill="0" autoLine="0" autoPict="0">
                <anchor moveWithCells="1">
                  <from>
                    <xdr:col>10</xdr:col>
                    <xdr:colOff>266700</xdr:colOff>
                    <xdr:row>122</xdr:row>
                    <xdr:rowOff>38100</xdr:rowOff>
                  </from>
                  <to>
                    <xdr:col>10</xdr:col>
                    <xdr:colOff>693420</xdr:colOff>
                    <xdr:row>123</xdr:row>
                    <xdr:rowOff>160020</xdr:rowOff>
                  </to>
                </anchor>
              </controlPr>
            </control>
          </mc:Choice>
        </mc:AlternateContent>
        <mc:AlternateContent xmlns:mc="http://schemas.openxmlformats.org/markup-compatibility/2006">
          <mc:Choice Requires="x14">
            <control shapeId="1101" r:id="rId34" name="Group Box 77">
              <controlPr defaultSize="0" autoFill="0" autoPict="0">
                <anchor moveWithCells="1">
                  <from>
                    <xdr:col>9</xdr:col>
                    <xdr:colOff>198120</xdr:colOff>
                    <xdr:row>125</xdr:row>
                    <xdr:rowOff>190500</xdr:rowOff>
                  </from>
                  <to>
                    <xdr:col>10</xdr:col>
                    <xdr:colOff>784860</xdr:colOff>
                    <xdr:row>129</xdr:row>
                    <xdr:rowOff>0</xdr:rowOff>
                  </to>
                </anchor>
              </controlPr>
            </control>
          </mc:Choice>
        </mc:AlternateContent>
        <mc:AlternateContent xmlns:mc="http://schemas.openxmlformats.org/markup-compatibility/2006">
          <mc:Choice Requires="x14">
            <control shapeId="1102" r:id="rId35" name="Option Button 78">
              <controlPr defaultSize="0" autoFill="0" autoLine="0" autoPict="0">
                <anchor moveWithCells="1">
                  <from>
                    <xdr:col>9</xdr:col>
                    <xdr:colOff>304800</xdr:colOff>
                    <xdr:row>126</xdr:row>
                    <xdr:rowOff>121920</xdr:rowOff>
                  </from>
                  <to>
                    <xdr:col>9</xdr:col>
                    <xdr:colOff>716280</xdr:colOff>
                    <xdr:row>128</xdr:row>
                    <xdr:rowOff>60960</xdr:rowOff>
                  </to>
                </anchor>
              </controlPr>
            </control>
          </mc:Choice>
        </mc:AlternateContent>
        <mc:AlternateContent xmlns:mc="http://schemas.openxmlformats.org/markup-compatibility/2006">
          <mc:Choice Requires="x14">
            <control shapeId="1103" r:id="rId36" name="Option Button 79">
              <controlPr defaultSize="0" autoFill="0" autoLine="0" autoPict="0">
                <anchor moveWithCells="1">
                  <from>
                    <xdr:col>10</xdr:col>
                    <xdr:colOff>266700</xdr:colOff>
                    <xdr:row>126</xdr:row>
                    <xdr:rowOff>121920</xdr:rowOff>
                  </from>
                  <to>
                    <xdr:col>10</xdr:col>
                    <xdr:colOff>693420</xdr:colOff>
                    <xdr:row>128</xdr:row>
                    <xdr:rowOff>60960</xdr:rowOff>
                  </to>
                </anchor>
              </controlPr>
            </control>
          </mc:Choice>
        </mc:AlternateContent>
        <mc:AlternateContent xmlns:mc="http://schemas.openxmlformats.org/markup-compatibility/2006">
          <mc:Choice Requires="x14">
            <control shapeId="1115" r:id="rId37" name="Option Button 91">
              <controlPr defaultSize="0" autoFill="0" autoLine="0" autoPict="0">
                <anchor moveWithCells="1">
                  <from>
                    <xdr:col>10</xdr:col>
                    <xdr:colOff>274320</xdr:colOff>
                    <xdr:row>106</xdr:row>
                    <xdr:rowOff>38100</xdr:rowOff>
                  </from>
                  <to>
                    <xdr:col>10</xdr:col>
                    <xdr:colOff>708660</xdr:colOff>
                    <xdr:row>107</xdr:row>
                    <xdr:rowOff>160020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6</vt:i4>
      </vt:variant>
    </vt:vector>
  </HeadingPairs>
  <TitlesOfParts>
    <vt:vector size="7" baseType="lpstr">
      <vt:lpstr>Ark1</vt:lpstr>
      <vt:lpstr>'Ark1'!_ftn3</vt:lpstr>
      <vt:lpstr>'Ark1'!_ftn5</vt:lpstr>
      <vt:lpstr>'Ark1'!_ftnref1</vt:lpstr>
      <vt:lpstr>'Ark1'!_ftnref3</vt:lpstr>
      <vt:lpstr>'Ark1'!_ftnref5</vt:lpstr>
      <vt:lpstr>'Ark1'!Utskriftsområde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Arne Hammerstad</dc:creator>
  <cp:lastModifiedBy>Martyna Sojka</cp:lastModifiedBy>
  <cp:lastPrinted>2014-03-06T08:11:46Z</cp:lastPrinted>
  <dcterms:created xsi:type="dcterms:W3CDTF">2013-08-23T13:16:49Z</dcterms:created>
  <dcterms:modified xsi:type="dcterms:W3CDTF">2023-03-03T07:48:31Z</dcterms:modified>
</cp:coreProperties>
</file>