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norskbyggtjeneste-my.sharepoint.com/personal/mso_byggtjeneste_no/Documents/MSO/"/>
    </mc:Choice>
  </mc:AlternateContent>
  <xr:revisionPtr revIDLastSave="0" documentId="8_{E6ECFE0B-7504-493B-8AE7-A3498F2B6A2B}" xr6:coauthVersionLast="47" xr6:coauthVersionMax="47" xr10:uidLastSave="{00000000-0000-0000-0000-000000000000}"/>
  <bookViews>
    <workbookView showSheetTabs="0" xWindow="-108" yWindow="-108" windowWidth="23256" windowHeight="12456" xr2:uid="{00000000-000D-0000-FFFF-FFFF00000000}"/>
  </bookViews>
  <sheets>
    <sheet name="Ark1" sheetId="1" r:id="rId1"/>
  </sheets>
  <definedNames>
    <definedName name="_ftn1" localSheetId="0">'Ark1'!#REF!</definedName>
    <definedName name="_ftn2" localSheetId="0">'Ark1'!#REF!</definedName>
    <definedName name="_ftn3" localSheetId="0">'Ark1'!$BJ$172</definedName>
    <definedName name="_ftn4" localSheetId="0">'Ark1'!#REF!</definedName>
    <definedName name="_ftn5" localSheetId="0">'Ark1'!$BJ$174</definedName>
    <definedName name="_ftnref1" localSheetId="0">'Ark1'!$X$86</definedName>
    <definedName name="_ftnref3" localSheetId="0">'Ark1'!$E$98</definedName>
    <definedName name="_ftnref5" localSheetId="0">'Ark1'!$Z$85</definedName>
    <definedName name="_xlnm.Print_Area" localSheetId="0">'Ark1'!$BH$172:$BQ$227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2" i="1"/>
  <c r="C70" i="1" l="1"/>
  <c r="Z157" i="1"/>
  <c r="Z158" i="1"/>
  <c r="Z159" i="1"/>
  <c r="Z160" i="1"/>
  <c r="Z161" i="1"/>
  <c r="Z162" i="1"/>
  <c r="Z163" i="1"/>
  <c r="Z164" i="1"/>
  <c r="Z165" i="1"/>
  <c r="Z156" i="1"/>
  <c r="AJ166" i="1" s="1"/>
  <c r="V107" i="1"/>
  <c r="U107" i="1"/>
  <c r="L79" i="1" l="1"/>
  <c r="Z80" i="1" l="1"/>
  <c r="W80" i="1"/>
  <c r="C131" i="1"/>
  <c r="BH186" i="1"/>
  <c r="Z69" i="1"/>
  <c r="W69" i="1"/>
  <c r="R69" i="1"/>
  <c r="S69" i="1"/>
  <c r="Q68" i="1"/>
  <c r="P69" i="1"/>
  <c r="P67" i="1"/>
  <c r="P68" i="1"/>
  <c r="P53" i="1"/>
  <c r="P52" i="1"/>
  <c r="BC69" i="1" l="1"/>
  <c r="AU80" i="1"/>
  <c r="AT80" i="1"/>
  <c r="AO80" i="1"/>
  <c r="AU69" i="1"/>
  <c r="AT69" i="1"/>
  <c r="AO69" i="1"/>
  <c r="AQ69" i="1"/>
  <c r="Y80" i="1"/>
  <c r="Y69" i="1"/>
  <c r="AQ80" i="1"/>
  <c r="AR69" i="1"/>
  <c r="AR80" i="1"/>
  <c r="AD68" i="1"/>
  <c r="AK80" i="1"/>
  <c r="AN80" i="1"/>
  <c r="V80" i="1"/>
  <c r="AI80" i="1"/>
  <c r="X80" i="1"/>
  <c r="AB69" i="1"/>
  <c r="AI69" i="1"/>
  <c r="AK69" i="1"/>
  <c r="AL80" i="1"/>
  <c r="Z79" i="1"/>
  <c r="AG79" i="1"/>
  <c r="AL69" i="1"/>
  <c r="AB80" i="1"/>
  <c r="AC80" i="1"/>
  <c r="U69" i="1"/>
  <c r="AC69" i="1"/>
  <c r="AN69" i="1"/>
  <c r="AE80" i="1"/>
  <c r="V69" i="1"/>
  <c r="AE69" i="1"/>
  <c r="U80" i="1"/>
  <c r="AF80" i="1"/>
  <c r="X69" i="1"/>
  <c r="AF69" i="1"/>
  <c r="AH80" i="1"/>
  <c r="AH69" i="1"/>
  <c r="W79" i="1"/>
  <c r="AJ79" i="1"/>
  <c r="AD79" i="1"/>
  <c r="AO68" i="1"/>
  <c r="S67" i="1" l="1"/>
  <c r="R67" i="1"/>
  <c r="Q66" i="1"/>
  <c r="AL77" i="1" l="1"/>
  <c r="AL66" i="1"/>
  <c r="AR77" i="1"/>
  <c r="AI77" i="1"/>
  <c r="AR66" i="1"/>
  <c r="AO66" i="1"/>
  <c r="R66" i="1"/>
  <c r="BH181" i="1" l="1"/>
  <c r="AN162" i="1" s="1"/>
  <c r="Y157" i="1"/>
  <c r="AM167" i="1" s="1"/>
  <c r="Y158" i="1"/>
  <c r="AN168" i="1" s="1"/>
  <c r="Y159" i="1"/>
  <c r="Y160" i="1"/>
  <c r="Y161" i="1"/>
  <c r="AM169" i="1" s="1"/>
  <c r="Y162" i="1"/>
  <c r="AM170" i="1" s="1"/>
  <c r="Y163" i="1"/>
  <c r="Y164" i="1"/>
  <c r="Y165" i="1"/>
  <c r="Y156" i="1"/>
  <c r="AN166" i="1" s="1"/>
  <c r="T156" i="1"/>
  <c r="U156" i="1"/>
  <c r="U157" i="1"/>
  <c r="U158" i="1"/>
  <c r="U159" i="1"/>
  <c r="U160" i="1"/>
  <c r="U161" i="1"/>
  <c r="U162" i="1"/>
  <c r="U163" i="1"/>
  <c r="U164" i="1"/>
  <c r="U165" i="1"/>
  <c r="T157" i="1"/>
  <c r="T158" i="1"/>
  <c r="T159" i="1"/>
  <c r="T160" i="1"/>
  <c r="T161" i="1"/>
  <c r="T162" i="1"/>
  <c r="T163" i="1"/>
  <c r="T164" i="1"/>
  <c r="T165" i="1"/>
  <c r="AM168" i="1" l="1"/>
  <c r="AM166" i="1"/>
  <c r="V156" i="1"/>
  <c r="W156" i="1" s="1"/>
  <c r="AN169" i="1"/>
  <c r="AN167" i="1"/>
  <c r="AN170" i="1"/>
  <c r="V157" i="1"/>
  <c r="W157" i="1" s="1"/>
  <c r="AV198" i="1"/>
  <c r="V158" i="1"/>
  <c r="W158" i="1" s="1"/>
  <c r="V159" i="1"/>
  <c r="W159" i="1" s="1"/>
  <c r="V160" i="1"/>
  <c r="W160" i="1" s="1"/>
  <c r="V161" i="1"/>
  <c r="W161" i="1" s="1"/>
  <c r="V162" i="1"/>
  <c r="W162" i="1" s="1"/>
  <c r="V163" i="1"/>
  <c r="W163" i="1" s="1"/>
  <c r="V164" i="1"/>
  <c r="W164" i="1" s="1"/>
  <c r="V165" i="1"/>
  <c r="W165" i="1" s="1"/>
  <c r="AJ167" i="1"/>
  <c r="AJ168" i="1"/>
  <c r="AJ169" i="1"/>
  <c r="AJ170" i="1"/>
  <c r="T169" i="1"/>
  <c r="R149" i="1"/>
  <c r="R150" i="1"/>
  <c r="R151" i="1"/>
  <c r="R152" i="1"/>
  <c r="R153" i="1"/>
  <c r="R154" i="1"/>
  <c r="R155" i="1"/>
  <c r="R156" i="1"/>
  <c r="R157" i="1"/>
  <c r="R148" i="1"/>
  <c r="AK162" i="1" l="1"/>
  <c r="AK163" i="1"/>
  <c r="AJ163" i="1"/>
  <c r="AL168" i="1"/>
  <c r="AJ162" i="1"/>
  <c r="AL169" i="1" l="1"/>
  <c r="AL167" i="1"/>
  <c r="AL170" i="1"/>
  <c r="AZ210" i="1"/>
  <c r="AL166" i="1"/>
  <c r="AZ205" i="1" l="1"/>
  <c r="AL163" i="1"/>
  <c r="AZ201" i="1" s="1"/>
  <c r="AZ203" i="1"/>
  <c r="AZ208" i="1" l="1"/>
  <c r="AZ212" i="1"/>
  <c r="X53" i="1" l="1"/>
  <c r="W52" i="1"/>
  <c r="W51" i="1"/>
  <c r="S49" i="1"/>
  <c r="C133" i="1"/>
  <c r="C132" i="1"/>
  <c r="AB185" i="1"/>
  <c r="AA184" i="1"/>
  <c r="AA183" i="1"/>
  <c r="AA182" i="1"/>
  <c r="BL226" i="1" l="1"/>
  <c r="BL225" i="1"/>
  <c r="BD198" i="1" l="1"/>
  <c r="AR198" i="1"/>
  <c r="BD201" i="1"/>
  <c r="AV201" i="1"/>
  <c r="AR201" i="1"/>
  <c r="BD203" i="1"/>
  <c r="AV203" i="1"/>
  <c r="AR203" i="1"/>
  <c r="BD205" i="1"/>
  <c r="AV205" i="1"/>
  <c r="AR205" i="1"/>
  <c r="BD208" i="1"/>
  <c r="AV208" i="1"/>
  <c r="AR208" i="1"/>
  <c r="AR210" i="1"/>
  <c r="AV210" i="1"/>
  <c r="BD210" i="1"/>
  <c r="AL162" i="1" l="1"/>
  <c r="AZ198" i="1" s="1"/>
  <c r="AV212" i="1"/>
  <c r="AR212" i="1"/>
  <c r="BD212" i="1"/>
  <c r="P51" i="1"/>
  <c r="P54" i="1"/>
  <c r="P57" i="1"/>
  <c r="P59" i="1"/>
  <c r="P66" i="1"/>
  <c r="P65" i="1"/>
  <c r="P64" i="1"/>
  <c r="P63" i="1"/>
  <c r="P62" i="1"/>
  <c r="P61" i="1"/>
  <c r="P60" i="1"/>
  <c r="P50" i="1"/>
  <c r="BH178" i="1" l="1"/>
  <c r="C79" i="1"/>
  <c r="BH188" i="1" s="1"/>
  <c r="BI219" i="1" l="1"/>
  <c r="AI191" i="1"/>
  <c r="AI190" i="1"/>
  <c r="AM162" i="1"/>
  <c r="AM163" i="1"/>
  <c r="AI163" i="1"/>
  <c r="AI162" i="1"/>
  <c r="J79" i="1" l="1"/>
  <c r="AP161" i="1"/>
  <c r="AO161" i="1"/>
  <c r="BH173" i="1"/>
  <c r="R68" i="1"/>
  <c r="R65" i="1"/>
  <c r="R64" i="1"/>
  <c r="R63" i="1"/>
  <c r="R62" i="1"/>
  <c r="R61" i="1"/>
  <c r="R60" i="1"/>
  <c r="S60" i="1"/>
  <c r="AL76" i="1" l="1"/>
  <c r="AL65" i="1"/>
  <c r="AK76" i="1"/>
  <c r="AK65" i="1"/>
  <c r="AN161" i="1"/>
  <c r="BC60" i="1"/>
  <c r="BH172" i="1" l="1"/>
  <c r="AN160" i="1" l="1"/>
  <c r="AN163" i="1" s="1"/>
  <c r="W49" i="1"/>
  <c r="W50" i="1"/>
  <c r="X47" i="1"/>
  <c r="C35" i="1" s="1"/>
  <c r="W46" i="1"/>
  <c r="W45" i="1"/>
  <c r="W44" i="1"/>
  <c r="U57" i="1"/>
  <c r="S68" i="1"/>
  <c r="BC67" i="1"/>
  <c r="S66" i="1"/>
  <c r="S65" i="1"/>
  <c r="S64" i="1"/>
  <c r="BC64" i="1" s="1"/>
  <c r="S63" i="1"/>
  <c r="S62" i="1"/>
  <c r="S61" i="1"/>
  <c r="BC61" i="1" s="1"/>
  <c r="T57" i="1"/>
  <c r="F146" i="1" s="1"/>
  <c r="Q60" i="1"/>
  <c r="S57" i="1"/>
  <c r="Q62" i="1"/>
  <c r="BA201" i="1" l="1"/>
  <c r="BB201" i="1" s="1"/>
  <c r="P121" i="1"/>
  <c r="AL73" i="1"/>
  <c r="AF71" i="1"/>
  <c r="AL71" i="1"/>
  <c r="AL60" i="1"/>
  <c r="AF79" i="1"/>
  <c r="BC68" i="1"/>
  <c r="P110" i="1" s="1"/>
  <c r="Y79" i="1"/>
  <c r="Y68" i="1"/>
  <c r="V66" i="1"/>
  <c r="V77" i="1"/>
  <c r="AC76" i="1"/>
  <c r="AC65" i="1"/>
  <c r="AN71" i="1"/>
  <c r="AO60" i="1"/>
  <c r="AN60" i="1"/>
  <c r="AF60" i="1"/>
  <c r="AO71" i="1"/>
  <c r="V62" i="1"/>
  <c r="BC62" i="1"/>
  <c r="AL79" i="1"/>
  <c r="AI79" i="1"/>
  <c r="V79" i="1"/>
  <c r="AC79" i="1"/>
  <c r="AC68" i="1"/>
  <c r="AL68" i="1"/>
  <c r="V68" i="1"/>
  <c r="AK79" i="1"/>
  <c r="U79" i="1"/>
  <c r="X79" i="1"/>
  <c r="AE68" i="1"/>
  <c r="AI68" i="1"/>
  <c r="AB79" i="1"/>
  <c r="AK68" i="1"/>
  <c r="U68" i="1"/>
  <c r="X68" i="1"/>
  <c r="AH79" i="1"/>
  <c r="AB68" i="1"/>
  <c r="AE79" i="1"/>
  <c r="AH68" i="1"/>
  <c r="AF68" i="1"/>
  <c r="U73" i="1"/>
  <c r="AF65" i="1"/>
  <c r="V60" i="1"/>
  <c r="U71" i="1"/>
  <c r="BC66" i="1"/>
  <c r="AZ66" i="1" s="1"/>
  <c r="U77" i="1"/>
  <c r="P115" i="1"/>
  <c r="V120" i="1"/>
  <c r="BA198" i="1"/>
  <c r="BB198" i="1" s="1"/>
  <c r="C142" i="1"/>
  <c r="G147" i="1"/>
  <c r="F147" i="1"/>
  <c r="L146" i="1"/>
  <c r="J146" i="1"/>
  <c r="H146" i="1"/>
  <c r="AB157" i="1"/>
  <c r="AB165" i="1"/>
  <c r="AB158" i="1"/>
  <c r="N146" i="1"/>
  <c r="AB159" i="1"/>
  <c r="AB163" i="1"/>
  <c r="AB164" i="1"/>
  <c r="AB160" i="1"/>
  <c r="AB161" i="1"/>
  <c r="AB154" i="1"/>
  <c r="AB162" i="1"/>
  <c r="AB155" i="1"/>
  <c r="AB156" i="1"/>
  <c r="AS62" i="1"/>
  <c r="AJ73" i="1"/>
  <c r="AS73" i="1"/>
  <c r="AP73" i="1"/>
  <c r="AM73" i="1"/>
  <c r="AD73" i="1"/>
  <c r="Z73" i="1"/>
  <c r="W73" i="1"/>
  <c r="AP60" i="1"/>
  <c r="W71" i="1"/>
  <c r="AP71" i="1"/>
  <c r="AJ71" i="1"/>
  <c r="Z71" i="1"/>
  <c r="AM71" i="1"/>
  <c r="AD71" i="1"/>
  <c r="W60" i="1"/>
  <c r="Y60" i="1"/>
  <c r="AC62" i="1"/>
  <c r="Y62" i="1"/>
  <c r="AO73" i="1"/>
  <c r="AC73" i="1"/>
  <c r="AL62" i="1"/>
  <c r="AR73" i="1"/>
  <c r="AI62" i="1"/>
  <c r="AO62" i="1"/>
  <c r="AI73" i="1"/>
  <c r="Y73" i="1"/>
  <c r="AF73" i="1"/>
  <c r="AF62" i="1"/>
  <c r="AC71" i="1"/>
  <c r="AC60" i="1"/>
  <c r="Y71" i="1"/>
  <c r="V71" i="1"/>
  <c r="AF76" i="1"/>
  <c r="AI76" i="1"/>
  <c r="AI65" i="1"/>
  <c r="V73" i="1"/>
  <c r="AI71" i="1"/>
  <c r="AI60" i="1"/>
  <c r="BC63" i="1"/>
  <c r="U35" i="1"/>
  <c r="U36" i="1" s="1"/>
  <c r="AR62" i="1"/>
  <c r="AS198" i="1"/>
  <c r="AT198" i="1" s="1"/>
  <c r="BE201" i="1"/>
  <c r="BF201" i="1" s="1"/>
  <c r="AW203" i="1"/>
  <c r="AX203" i="1" s="1"/>
  <c r="AW208" i="1"/>
  <c r="AX208" i="1" s="1"/>
  <c r="AS203" i="1"/>
  <c r="AT203" i="1" s="1"/>
  <c r="BE205" i="1"/>
  <c r="BF205" i="1" s="1"/>
  <c r="AS208" i="1"/>
  <c r="AT208" i="1" s="1"/>
  <c r="BA205" i="1"/>
  <c r="BB205" i="1" s="1"/>
  <c r="BE198" i="1"/>
  <c r="BF198" i="1" s="1"/>
  <c r="BE208" i="1"/>
  <c r="BF208" i="1" s="1"/>
  <c r="BA210" i="1"/>
  <c r="BB210" i="1" s="1"/>
  <c r="BA203" i="1"/>
  <c r="BB203" i="1" s="1"/>
  <c r="AW198" i="1"/>
  <c r="AX198" i="1" s="1"/>
  <c r="BA208" i="1"/>
  <c r="BB208" i="1" s="1"/>
  <c r="AS210" i="1"/>
  <c r="AT210" i="1" s="1"/>
  <c r="AW201" i="1"/>
  <c r="AX201" i="1" s="1"/>
  <c r="AS201" i="1"/>
  <c r="AT201" i="1" s="1"/>
  <c r="AW210" i="1"/>
  <c r="AX210" i="1" s="1"/>
  <c r="AW205" i="1"/>
  <c r="AX205" i="1" s="1"/>
  <c r="BE203" i="1"/>
  <c r="BF203" i="1" s="1"/>
  <c r="AS205" i="1"/>
  <c r="AT205" i="1" s="1"/>
  <c r="BE210" i="1"/>
  <c r="BF210" i="1" s="1"/>
  <c r="BE212" i="1"/>
  <c r="BF212" i="1" s="1"/>
  <c r="BA212" i="1"/>
  <c r="BB212" i="1" s="1"/>
  <c r="AW212" i="1"/>
  <c r="AX212" i="1" s="1"/>
  <c r="AS212" i="1"/>
  <c r="AT212" i="1" s="1"/>
  <c r="AI189" i="1"/>
  <c r="U60" i="1"/>
  <c r="X60" i="1"/>
  <c r="AH60" i="1"/>
  <c r="AG71" i="1"/>
  <c r="AK71" i="1"/>
  <c r="AG60" i="1"/>
  <c r="AB71" i="1"/>
  <c r="AK60" i="1"/>
  <c r="AB60" i="1"/>
  <c r="AJ60" i="1"/>
  <c r="AE71" i="1"/>
  <c r="Z60" i="1"/>
  <c r="T71" i="1"/>
  <c r="AE60" i="1"/>
  <c r="T60" i="1"/>
  <c r="AM60" i="1"/>
  <c r="AH71" i="1"/>
  <c r="X71" i="1"/>
  <c r="AD60" i="1"/>
  <c r="AB73" i="1"/>
  <c r="AN62" i="1"/>
  <c r="AJ62" i="1"/>
  <c r="AB62" i="1"/>
  <c r="W62" i="1"/>
  <c r="AQ73" i="1"/>
  <c r="AE73" i="1"/>
  <c r="AQ62" i="1"/>
  <c r="AM62" i="1"/>
  <c r="AE62" i="1"/>
  <c r="Z62" i="1"/>
  <c r="AH73" i="1"/>
  <c r="AP62" i="1"/>
  <c r="AH62" i="1"/>
  <c r="AD62" i="1"/>
  <c r="U62" i="1"/>
  <c r="AK73" i="1"/>
  <c r="AG73" i="1"/>
  <c r="X73" i="1"/>
  <c r="T73" i="1"/>
  <c r="AK62" i="1"/>
  <c r="AG62" i="1"/>
  <c r="X62" i="1"/>
  <c r="T62" i="1"/>
  <c r="AN73" i="1"/>
  <c r="AH76" i="1"/>
  <c r="AB76" i="1"/>
  <c r="AH65" i="1"/>
  <c r="AB65" i="1"/>
  <c r="AE76" i="1"/>
  <c r="AE65" i="1"/>
  <c r="AZ60" i="1"/>
  <c r="V118" i="1"/>
  <c r="C146" i="1"/>
  <c r="E146" i="1"/>
  <c r="BC65" i="1"/>
  <c r="AZ65" i="1" s="1"/>
  <c r="BB62" i="1"/>
  <c r="BA62" i="1"/>
  <c r="AZ62" i="1"/>
  <c r="BB60" i="1"/>
  <c r="BA60" i="1"/>
  <c r="I79" i="1"/>
  <c r="BL188" i="1" s="1"/>
  <c r="P105" i="1" l="1"/>
  <c r="P83" i="1"/>
  <c r="Q67" i="1"/>
  <c r="Q65" i="1"/>
  <c r="Q64" i="1"/>
  <c r="Q63" i="1"/>
  <c r="I71" i="1" l="1"/>
  <c r="P89" i="1"/>
  <c r="Q46" i="1"/>
  <c r="T166" i="1" s="1"/>
  <c r="C159" i="1" s="1"/>
  <c r="AF78" i="1"/>
  <c r="AR78" i="1"/>
  <c r="AL78" i="1"/>
  <c r="AR67" i="1"/>
  <c r="AL67" i="1"/>
  <c r="AL63" i="1"/>
  <c r="AL74" i="1"/>
  <c r="AL64" i="1"/>
  <c r="AL75" i="1"/>
  <c r="AC64" i="1"/>
  <c r="AR75" i="1"/>
  <c r="AR64" i="1"/>
  <c r="AR63" i="1"/>
  <c r="AR74" i="1"/>
  <c r="Y78" i="1"/>
  <c r="Y67" i="1"/>
  <c r="V64" i="1"/>
  <c r="AC75" i="1"/>
  <c r="AI78" i="1"/>
  <c r="AO78" i="1"/>
  <c r="AC78" i="1"/>
  <c r="AC67" i="1"/>
  <c r="V78" i="1"/>
  <c r="AE78" i="1"/>
  <c r="U78" i="1"/>
  <c r="AD78" i="1"/>
  <c r="AG78" i="1"/>
  <c r="W78" i="1"/>
  <c r="AK78" i="1"/>
  <c r="AB78" i="1"/>
  <c r="AB67" i="1"/>
  <c r="AJ78" i="1"/>
  <c r="Z78" i="1"/>
  <c r="V67" i="1"/>
  <c r="AH78" i="1"/>
  <c r="X78" i="1"/>
  <c r="AK67" i="1"/>
  <c r="AE67" i="1"/>
  <c r="AH67" i="1"/>
  <c r="AF67" i="1"/>
  <c r="AI67" i="1"/>
  <c r="U67" i="1"/>
  <c r="X67" i="1"/>
  <c r="U74" i="1"/>
  <c r="V63" i="1"/>
  <c r="U75" i="1"/>
  <c r="AK64" i="1"/>
  <c r="U76" i="1"/>
  <c r="AY78" i="1"/>
  <c r="AQ78" i="1"/>
  <c r="AX78" i="1"/>
  <c r="AP78" i="1"/>
  <c r="AW78" i="1"/>
  <c r="AV78" i="1"/>
  <c r="AN78" i="1"/>
  <c r="AU78" i="1"/>
  <c r="AM78" i="1"/>
  <c r="AT78" i="1"/>
  <c r="AS78" i="1"/>
  <c r="T67" i="1"/>
  <c r="P126" i="1"/>
  <c r="O158" i="1"/>
  <c r="W76" i="1"/>
  <c r="AP75" i="1"/>
  <c r="AM75" i="1"/>
  <c r="AJ75" i="1"/>
  <c r="AD75" i="1"/>
  <c r="Z76" i="1"/>
  <c r="W75" i="1"/>
  <c r="AS75" i="1"/>
  <c r="Z75" i="1"/>
  <c r="AV75" i="1"/>
  <c r="AS79" i="1"/>
  <c r="AS68" i="1"/>
  <c r="AV79" i="1"/>
  <c r="AP79" i="1"/>
  <c r="AM79" i="1"/>
  <c r="AY74" i="1"/>
  <c r="W74" i="1"/>
  <c r="AP74" i="1"/>
  <c r="AM74" i="1"/>
  <c r="AJ74" i="1"/>
  <c r="AD74" i="1"/>
  <c r="AS74" i="1"/>
  <c r="Z74" i="1"/>
  <c r="AV74" i="1"/>
  <c r="AP77" i="1"/>
  <c r="AM77" i="1"/>
  <c r="AJ77" i="1"/>
  <c r="AD77" i="1"/>
  <c r="Z77" i="1"/>
  <c r="AS77" i="1"/>
  <c r="W77" i="1"/>
  <c r="AV77" i="1"/>
  <c r="AY77" i="1"/>
  <c r="W67" i="1"/>
  <c r="AY67" i="1"/>
  <c r="Z67" i="1"/>
  <c r="W66" i="1"/>
  <c r="Z66" i="1"/>
  <c r="I137" i="1"/>
  <c r="I138" i="1"/>
  <c r="I136" i="1"/>
  <c r="V94" i="1" s="1"/>
  <c r="C135" i="1"/>
  <c r="Z63" i="1"/>
  <c r="Z64" i="1"/>
  <c r="AX67" i="1"/>
  <c r="AU67" i="1"/>
  <c r="AU79" i="1"/>
  <c r="AU68" i="1"/>
  <c r="AX63" i="1"/>
  <c r="Y63" i="1"/>
  <c r="Y74" i="1"/>
  <c r="V74" i="1"/>
  <c r="AX74" i="1"/>
  <c r="AU74" i="1"/>
  <c r="AU63" i="1"/>
  <c r="Y64" i="1"/>
  <c r="Y75" i="1"/>
  <c r="AU64" i="1"/>
  <c r="AU75" i="1"/>
  <c r="AX66" i="1"/>
  <c r="Y66" i="1"/>
  <c r="Y77" i="1"/>
  <c r="AX77" i="1"/>
  <c r="AU77" i="1"/>
  <c r="AU66" i="1"/>
  <c r="AI74" i="1"/>
  <c r="AO74" i="1"/>
  <c r="AC74" i="1"/>
  <c r="AI63" i="1"/>
  <c r="AC63" i="1"/>
  <c r="AO63" i="1"/>
  <c r="AO64" i="1"/>
  <c r="AO75" i="1"/>
  <c r="AC77" i="1"/>
  <c r="AI66" i="1"/>
  <c r="AC66" i="1"/>
  <c r="AO77" i="1"/>
  <c r="AO67" i="1"/>
  <c r="AO79" i="1"/>
  <c r="AR68" i="1"/>
  <c r="AR79" i="1"/>
  <c r="AF75" i="1"/>
  <c r="AF64" i="1"/>
  <c r="AF77" i="1"/>
  <c r="AF66" i="1"/>
  <c r="AF74" i="1"/>
  <c r="AF63" i="1"/>
  <c r="Y65" i="1"/>
  <c r="V76" i="1"/>
  <c r="V65" i="1"/>
  <c r="Y76" i="1"/>
  <c r="AI75" i="1"/>
  <c r="AI64" i="1"/>
  <c r="V75" i="1"/>
  <c r="X77" i="1"/>
  <c r="AY63" i="1"/>
  <c r="AQ63" i="1"/>
  <c r="AM63" i="1"/>
  <c r="AE63" i="1"/>
  <c r="AT74" i="1"/>
  <c r="AH74" i="1"/>
  <c r="W63" i="1"/>
  <c r="AE74" i="1"/>
  <c r="AT63" i="1"/>
  <c r="AP63" i="1"/>
  <c r="AH63" i="1"/>
  <c r="AD63" i="1"/>
  <c r="U63" i="1"/>
  <c r="AW74" i="1"/>
  <c r="AK74" i="1"/>
  <c r="AG74" i="1"/>
  <c r="X74" i="1"/>
  <c r="T74" i="1"/>
  <c r="AW63" i="1"/>
  <c r="AS63" i="1"/>
  <c r="AK63" i="1"/>
  <c r="AG63" i="1"/>
  <c r="X63" i="1"/>
  <c r="T63" i="1"/>
  <c r="AN74" i="1"/>
  <c r="AB74" i="1"/>
  <c r="AV63" i="1"/>
  <c r="AN63" i="1"/>
  <c r="AJ63" i="1"/>
  <c r="AB63" i="1"/>
  <c r="AQ74" i="1"/>
  <c r="AN75" i="1"/>
  <c r="AB75" i="1"/>
  <c r="AV64" i="1"/>
  <c r="AN64" i="1"/>
  <c r="AJ64" i="1"/>
  <c r="AB64" i="1"/>
  <c r="AQ75" i="1"/>
  <c r="AE75" i="1"/>
  <c r="AD64" i="1"/>
  <c r="T75" i="1"/>
  <c r="AK75" i="1"/>
  <c r="AS64" i="1"/>
  <c r="AQ64" i="1"/>
  <c r="AM64" i="1"/>
  <c r="AE64" i="1"/>
  <c r="AT75" i="1"/>
  <c r="AH75" i="1"/>
  <c r="U64" i="1"/>
  <c r="AT64" i="1"/>
  <c r="AP64" i="1"/>
  <c r="AH64" i="1"/>
  <c r="AG75" i="1"/>
  <c r="X75" i="1"/>
  <c r="T64" i="1"/>
  <c r="AG64" i="1"/>
  <c r="X64" i="1"/>
  <c r="Z65" i="1"/>
  <c r="X76" i="1"/>
  <c r="X65" i="1"/>
  <c r="T65" i="1"/>
  <c r="W65" i="1"/>
  <c r="U65" i="1"/>
  <c r="T76" i="1"/>
  <c r="AQ77" i="1"/>
  <c r="AE77" i="1"/>
  <c r="AY66" i="1"/>
  <c r="AQ66" i="1"/>
  <c r="AM66" i="1"/>
  <c r="AE66" i="1"/>
  <c r="AT77" i="1"/>
  <c r="AH77" i="1"/>
  <c r="AT66" i="1"/>
  <c r="AP66" i="1"/>
  <c r="AH66" i="1"/>
  <c r="AD66" i="1"/>
  <c r="U66" i="1"/>
  <c r="AV66" i="1"/>
  <c r="AN66" i="1"/>
  <c r="AJ66" i="1"/>
  <c r="AB66" i="1"/>
  <c r="AW77" i="1"/>
  <c r="AK77" i="1"/>
  <c r="AG77" i="1"/>
  <c r="T77" i="1"/>
  <c r="AW66" i="1"/>
  <c r="AS66" i="1"/>
  <c r="AK66" i="1"/>
  <c r="AG66" i="1"/>
  <c r="X66" i="1"/>
  <c r="T66" i="1"/>
  <c r="AN77" i="1"/>
  <c r="AB77" i="1"/>
  <c r="AQ67" i="1"/>
  <c r="AT67" i="1"/>
  <c r="AP67" i="1"/>
  <c r="AD67" i="1"/>
  <c r="T78" i="1"/>
  <c r="AW67" i="1"/>
  <c r="AS67" i="1"/>
  <c r="AG67" i="1"/>
  <c r="AV67" i="1"/>
  <c r="AN67" i="1"/>
  <c r="AJ67" i="1"/>
  <c r="AM67" i="1"/>
  <c r="AN79" i="1"/>
  <c r="AQ79" i="1"/>
  <c r="AQ68" i="1"/>
  <c r="AT79" i="1"/>
  <c r="AT68" i="1"/>
  <c r="AP68" i="1"/>
  <c r="Z68" i="1"/>
  <c r="AV68" i="1"/>
  <c r="AN68" i="1"/>
  <c r="AJ68" i="1"/>
  <c r="T79" i="1"/>
  <c r="AM68" i="1"/>
  <c r="AG68" i="1"/>
  <c r="W68" i="1"/>
  <c r="T68" i="1"/>
  <c r="AZ67" i="1"/>
  <c r="AZ63" i="1"/>
  <c r="BA68" i="1"/>
  <c r="AZ68" i="1"/>
  <c r="BB68" i="1"/>
  <c r="BB67" i="1"/>
  <c r="BA67" i="1"/>
  <c r="BB66" i="1"/>
  <c r="BA66" i="1"/>
  <c r="AZ64" i="1"/>
  <c r="BA64" i="1"/>
  <c r="BB64" i="1"/>
  <c r="BB63" i="1"/>
  <c r="BA63" i="1"/>
  <c r="W64" i="1"/>
  <c r="Q61" i="1"/>
  <c r="AF72" i="1" l="1"/>
  <c r="AF81" i="1" s="1"/>
  <c r="BI196" i="1" s="1"/>
  <c r="AR61" i="1"/>
  <c r="AR70" i="1" s="1"/>
  <c r="AR72" i="1"/>
  <c r="AR81" i="1" s="1"/>
  <c r="AL72" i="1"/>
  <c r="AL81" i="1" s="1"/>
  <c r="AL61" i="1"/>
  <c r="AL70" i="1" s="1"/>
  <c r="AF61" i="1"/>
  <c r="AF70" i="1" s="1"/>
  <c r="Y72" i="1"/>
  <c r="Y81" i="1" s="1"/>
  <c r="BI191" i="1" s="1"/>
  <c r="U72" i="1"/>
  <c r="U81" i="1" s="1"/>
  <c r="AC61" i="1"/>
  <c r="AC70" i="1" s="1"/>
  <c r="P130" i="1"/>
  <c r="AY72" i="1"/>
  <c r="AY81" i="1" s="1"/>
  <c r="AM72" i="1"/>
  <c r="AM81" i="1" s="1"/>
  <c r="AD72" i="1"/>
  <c r="AD81" i="1" s="1"/>
  <c r="Z72" i="1"/>
  <c r="AV72" i="1"/>
  <c r="AV81" i="1" s="1"/>
  <c r="BL209" i="1" s="1"/>
  <c r="AP72" i="1"/>
  <c r="AP81" i="1" s="1"/>
  <c r="AJ72" i="1"/>
  <c r="AJ81" i="1" s="1"/>
  <c r="AS72" i="1"/>
  <c r="AS81" i="1" s="1"/>
  <c r="BL207" i="1" s="1"/>
  <c r="W72" i="1"/>
  <c r="W61" i="1"/>
  <c r="W70" i="1" s="1"/>
  <c r="AY61" i="1"/>
  <c r="AY70" i="1" s="1"/>
  <c r="Z61" i="1"/>
  <c r="Z70" i="1" s="1"/>
  <c r="Y61" i="1"/>
  <c r="Y70" i="1" s="1"/>
  <c r="AX61" i="1"/>
  <c r="AX70" i="1" s="1"/>
  <c r="V61" i="1"/>
  <c r="V70" i="1" s="1"/>
  <c r="AU72" i="1"/>
  <c r="AU81" i="1" s="1"/>
  <c r="AU61" i="1"/>
  <c r="AU70" i="1" s="1"/>
  <c r="AO72" i="1"/>
  <c r="AO81" i="1" s="1"/>
  <c r="AO61" i="1"/>
  <c r="AO70" i="1" s="1"/>
  <c r="AX72" i="1"/>
  <c r="AX81" i="1" s="1"/>
  <c r="V72" i="1"/>
  <c r="AI72" i="1"/>
  <c r="AI81" i="1" s="1"/>
  <c r="BI200" i="1" s="1"/>
  <c r="AI61" i="1"/>
  <c r="AI70" i="1" s="1"/>
  <c r="AC72" i="1"/>
  <c r="AC81" i="1" s="1"/>
  <c r="AV61" i="1"/>
  <c r="AV70" i="1" s="1"/>
  <c r="T32" i="1"/>
  <c r="T33" i="1"/>
  <c r="AQ72" i="1"/>
  <c r="AQ81" i="1" s="1"/>
  <c r="AQ61" i="1"/>
  <c r="AQ70" i="1" s="1"/>
  <c r="AM61" i="1"/>
  <c r="AM70" i="1" s="1"/>
  <c r="AE61" i="1"/>
  <c r="AE70" i="1" s="1"/>
  <c r="AT72" i="1"/>
  <c r="AT81" i="1" s="1"/>
  <c r="AH72" i="1"/>
  <c r="AH81" i="1" s="1"/>
  <c r="AT61" i="1"/>
  <c r="AT70" i="1" s="1"/>
  <c r="AP61" i="1"/>
  <c r="AP70" i="1" s="1"/>
  <c r="AH61" i="1"/>
  <c r="AH70" i="1" s="1"/>
  <c r="AD61" i="1"/>
  <c r="AD70" i="1" s="1"/>
  <c r="U61" i="1"/>
  <c r="U70" i="1" s="1"/>
  <c r="AW72" i="1"/>
  <c r="AW81" i="1" s="1"/>
  <c r="AK72" i="1"/>
  <c r="AK81" i="1" s="1"/>
  <c r="AG72" i="1"/>
  <c r="AG81" i="1" s="1"/>
  <c r="X72" i="1"/>
  <c r="X81" i="1" s="1"/>
  <c r="T72" i="1"/>
  <c r="T81" i="1" s="1"/>
  <c r="AW61" i="1"/>
  <c r="AW70" i="1" s="1"/>
  <c r="AS61" i="1"/>
  <c r="AS70" i="1" s="1"/>
  <c r="AK61" i="1"/>
  <c r="AK70" i="1" s="1"/>
  <c r="AG61" i="1"/>
  <c r="AG70" i="1" s="1"/>
  <c r="X61" i="1"/>
  <c r="T61" i="1"/>
  <c r="AN72" i="1"/>
  <c r="AN81" i="1" s="1"/>
  <c r="AB72" i="1"/>
  <c r="AB81" i="1" s="1"/>
  <c r="AN61" i="1"/>
  <c r="AN70" i="1" s="1"/>
  <c r="AJ61" i="1"/>
  <c r="AJ70" i="1" s="1"/>
  <c r="AB61" i="1"/>
  <c r="AB70" i="1" s="1"/>
  <c r="AE72" i="1"/>
  <c r="AE81" i="1" s="1"/>
  <c r="BB61" i="1"/>
  <c r="BB70" i="1" s="1"/>
  <c r="C139" i="1" s="1"/>
  <c r="BA61" i="1"/>
  <c r="BA70" i="1" s="1"/>
  <c r="C137" i="1" s="1"/>
  <c r="AZ61" i="1"/>
  <c r="AZ70" i="1" s="1"/>
  <c r="C136" i="1" s="1"/>
  <c r="R57" i="1"/>
  <c r="Q57" i="1"/>
  <c r="U94" i="1" l="1"/>
  <c r="V81" i="1"/>
  <c r="BI189" i="1" s="1"/>
  <c r="W81" i="1"/>
  <c r="BL189" i="1" s="1"/>
  <c r="T70" i="1"/>
  <c r="T40" i="1" s="1"/>
  <c r="X70" i="1"/>
  <c r="C84" i="1" s="1"/>
  <c r="Z81" i="1"/>
  <c r="BL191" i="1" s="1"/>
  <c r="BL194" i="1"/>
  <c r="BI207" i="1"/>
  <c r="BL200" i="1"/>
  <c r="BL196" i="1"/>
  <c r="BL202" i="1"/>
  <c r="BI202" i="1"/>
  <c r="BL204" i="1"/>
  <c r="BI209" i="1"/>
  <c r="BI194" i="1"/>
  <c r="BL211" i="1"/>
  <c r="BI204" i="1"/>
  <c r="BI211" i="1"/>
  <c r="T28" i="1"/>
  <c r="T31" i="1"/>
  <c r="T29" i="1"/>
  <c r="U95" i="1"/>
  <c r="V95" i="1" s="1"/>
  <c r="T30" i="1"/>
  <c r="C27" i="1"/>
  <c r="T27" i="1"/>
  <c r="I116" i="1"/>
  <c r="V90" i="1" s="1"/>
  <c r="I122" i="1"/>
  <c r="C122" i="1"/>
  <c r="R123" i="1" s="1"/>
  <c r="T123" i="1" s="1"/>
  <c r="C94" i="1"/>
  <c r="R98" i="1" s="1"/>
  <c r="T98" i="1" s="1"/>
  <c r="I80" i="1"/>
  <c r="V83" i="1" s="1"/>
  <c r="C116" i="1"/>
  <c r="R117" i="1" s="1"/>
  <c r="T117" i="1" s="1"/>
  <c r="D116" i="1"/>
  <c r="C127" i="1"/>
  <c r="R128" i="1" s="1"/>
  <c r="D111" i="1"/>
  <c r="D94" i="1"/>
  <c r="C106" i="1"/>
  <c r="R107" i="1" s="1"/>
  <c r="T107" i="1" s="1"/>
  <c r="I111" i="1"/>
  <c r="V89" i="1" s="1"/>
  <c r="D106" i="1"/>
  <c r="D127" i="1"/>
  <c r="I84" i="1"/>
  <c r="V84" i="1" s="1"/>
  <c r="C80" i="1"/>
  <c r="R82" i="1" s="1"/>
  <c r="C90" i="1"/>
  <c r="D122" i="1"/>
  <c r="D101" i="1"/>
  <c r="I94" i="1"/>
  <c r="C111" i="1"/>
  <c r="I101" i="1"/>
  <c r="V87" i="1" s="1"/>
  <c r="I127" i="1"/>
  <c r="V92" i="1" s="1"/>
  <c r="BH194" i="1" l="1"/>
  <c r="AJ191" i="1" s="1"/>
  <c r="AL191" i="1" s="1"/>
  <c r="R92" i="1"/>
  <c r="T92" i="1" s="1"/>
  <c r="T82" i="1"/>
  <c r="T128" i="1"/>
  <c r="S128" i="1"/>
  <c r="BH204" i="1"/>
  <c r="BO204" i="1" s="1"/>
  <c r="R112" i="1"/>
  <c r="T112" i="1" s="1"/>
  <c r="R86" i="1"/>
  <c r="BH191" i="1"/>
  <c r="AJ190" i="1" s="1"/>
  <c r="AL190" i="1" s="1"/>
  <c r="T39" i="1"/>
  <c r="T43" i="1" s="1"/>
  <c r="BH183" i="1" s="1"/>
  <c r="T34" i="1"/>
  <c r="C28" i="1" s="1"/>
  <c r="D90" i="1"/>
  <c r="U85" i="1" s="1"/>
  <c r="D84" i="1"/>
  <c r="U84" i="1" s="1"/>
  <c r="D80" i="1"/>
  <c r="U83" i="1" s="1"/>
  <c r="V91" i="1"/>
  <c r="U91" i="1"/>
  <c r="U88" i="1"/>
  <c r="BH196" i="1"/>
  <c r="BO196" i="1" s="1"/>
  <c r="U86" i="1"/>
  <c r="BH209" i="1"/>
  <c r="BO209" i="1" s="1"/>
  <c r="U89" i="1"/>
  <c r="V86" i="1"/>
  <c r="BH211" i="1"/>
  <c r="BO211" i="1" s="1"/>
  <c r="BH207" i="1"/>
  <c r="BO207" i="1" s="1"/>
  <c r="BH202" i="1"/>
  <c r="BO202" i="1" s="1"/>
  <c r="U92" i="1"/>
  <c r="U87" i="1"/>
  <c r="U90" i="1"/>
  <c r="C101" i="1"/>
  <c r="R102" i="1" s="1"/>
  <c r="T102" i="1" s="1"/>
  <c r="I106" i="1"/>
  <c r="I90" i="1"/>
  <c r="V85" i="1" s="1"/>
  <c r="BN209" i="1"/>
  <c r="S117" i="1"/>
  <c r="BN196" i="1"/>
  <c r="BH189" i="1"/>
  <c r="Q129" i="1" l="1"/>
  <c r="Q130" i="1"/>
  <c r="BN202" i="1"/>
  <c r="Q132" i="1"/>
  <c r="S92" i="1"/>
  <c r="BO194" i="1"/>
  <c r="AJ195" i="1"/>
  <c r="AK195" i="1" s="1"/>
  <c r="T86" i="1"/>
  <c r="BN191" i="1" s="1"/>
  <c r="S86" i="1"/>
  <c r="BN204" i="1"/>
  <c r="BO191" i="1"/>
  <c r="T41" i="1"/>
  <c r="C42" i="1" s="1"/>
  <c r="AK190" i="1"/>
  <c r="AK191" i="1"/>
  <c r="AJ189" i="1"/>
  <c r="AK189" i="1" s="1"/>
  <c r="BO189" i="1"/>
  <c r="AJ196" i="1"/>
  <c r="AK196" i="1" s="1"/>
  <c r="AJ197" i="1"/>
  <c r="AJ194" i="1"/>
  <c r="AJ198" i="1"/>
  <c r="V88" i="1"/>
  <c r="BN200" i="1"/>
  <c r="BH200" i="1"/>
  <c r="BO200" i="1" s="1"/>
  <c r="AJ192" i="1"/>
  <c r="S82" i="1"/>
  <c r="S123" i="1"/>
  <c r="BN211" i="1"/>
  <c r="S107" i="1"/>
  <c r="S112" i="1"/>
  <c r="S98" i="1"/>
  <c r="BN207" i="1"/>
  <c r="BN194" i="1"/>
  <c r="BN189" i="1"/>
  <c r="AL195" i="1" l="1"/>
  <c r="AL196" i="1"/>
  <c r="AL189" i="1"/>
  <c r="S102" i="1"/>
  <c r="S129" i="1" s="1"/>
  <c r="AK197" i="1"/>
  <c r="AL197" i="1"/>
  <c r="AK194" i="1"/>
  <c r="AL194" i="1"/>
  <c r="AK192" i="1"/>
  <c r="AL192" i="1"/>
  <c r="AK198" i="1"/>
  <c r="AL198" i="1"/>
  <c r="AJ193" i="1"/>
  <c r="X118" i="1" l="1"/>
  <c r="U118" i="1"/>
  <c r="Y112" i="1"/>
  <c r="AA112" i="1"/>
  <c r="AA116" i="1"/>
  <c r="Z112" i="1"/>
  <c r="Z111" i="1"/>
  <c r="Y111" i="1"/>
  <c r="AA111" i="1"/>
  <c r="Y116" i="1"/>
  <c r="Z116" i="1"/>
  <c r="Z115" i="1"/>
  <c r="Y115" i="1"/>
  <c r="AA115" i="1"/>
  <c r="AK193" i="1"/>
  <c r="AL193" i="1"/>
  <c r="X119" i="1" l="1"/>
  <c r="AB111" i="1"/>
  <c r="AB112" i="1"/>
  <c r="AB116" i="1"/>
  <c r="AB115" i="1"/>
  <c r="U119" i="1"/>
  <c r="AB113" i="1" l="1"/>
  <c r="Y118" i="1" s="1"/>
  <c r="AB117" i="1"/>
  <c r="Y119" i="1" s="1"/>
  <c r="U120" i="1"/>
  <c r="U121" i="1" s="1"/>
  <c r="U122" i="1" s="1"/>
  <c r="U123" i="1" s="1"/>
  <c r="U124" i="1" s="1"/>
  <c r="U125" i="1" s="1"/>
  <c r="U126" i="1" s="1"/>
  <c r="U127" i="1" s="1"/>
  <c r="U128" i="1" s="1"/>
  <c r="X120" i="1"/>
  <c r="R129" i="1" l="1"/>
  <c r="X121" i="1"/>
  <c r="X122" i="1" s="1"/>
  <c r="X123" i="1" s="1"/>
  <c r="X124" i="1" s="1"/>
  <c r="X125" i="1" s="1"/>
  <c r="X126" i="1" s="1"/>
  <c r="X127" i="1" s="1"/>
  <c r="X128" i="1" s="1"/>
  <c r="R130" i="1" l="1"/>
  <c r="R131" i="1" s="1"/>
  <c r="BH214" i="1" s="1"/>
</calcChain>
</file>

<file path=xl/sharedStrings.xml><?xml version="1.0" encoding="utf-8"?>
<sst xmlns="http://schemas.openxmlformats.org/spreadsheetml/2006/main" count="108" uniqueCount="102">
  <si>
    <t>BREEAM-NOR Egendeklarasjon HEA 9</t>
  </si>
  <si>
    <t>BREEAM-NOR Egendeklarasjon A20</t>
  </si>
  <si>
    <t>- Velg -</t>
  </si>
  <si>
    <t>Halvharde gulvbelegg, tekstile gulvbelegg og laminatgulv</t>
  </si>
  <si>
    <t>Trepanel:</t>
  </si>
  <si>
    <t>Trekonstruksjoner:</t>
  </si>
  <si>
    <t>Testkrav:</t>
  </si>
  <si>
    <t>2. EN 13999-2:2007 – VOC (flyktige organiske forbindelser)</t>
  </si>
  <si>
    <t>3. EN 13999-3:2007 – Flyktige aldehyder</t>
  </si>
  <si>
    <t>4. EN 13999-4:2007 – Flyktige diisocyanater</t>
  </si>
  <si>
    <t>5. EN 12149:1997</t>
  </si>
  <si>
    <t>Tapet</t>
  </si>
  <si>
    <t>HEA 9</t>
  </si>
  <si>
    <t>Produkt:</t>
  </si>
  <si>
    <t xml:space="preserve">Ferdig utfylt skjema undertegnes av en juridisk ansvarlig person hos produsent, f.eks. teknisk sjef eller daglig leder. </t>
  </si>
  <si>
    <t xml:space="preserve">Det er viktig at opplysningene som oppgis her er korrekte, og det oppfordres til grundighet når man undersøker hvorvidt emisjonstester og/eller testrapporter viser at produktet tilfredsstiller de standardene og emisjonsgrensene som BREEAM-NOR har satt. </t>
  </si>
  <si>
    <r>
      <t xml:space="preserve">Ferdig utfylt skjema undertegnes av en </t>
    </r>
    <r>
      <rPr>
        <i/>
        <sz val="11"/>
        <color theme="1"/>
        <rFont val="Calibri"/>
        <family val="2"/>
        <scheme val="minor"/>
      </rPr>
      <t>juridisk ansvarlig person</t>
    </r>
    <r>
      <rPr>
        <sz val="11"/>
        <color theme="1"/>
        <rFont val="Calibri"/>
        <family val="2"/>
        <scheme val="minor"/>
      </rPr>
      <t xml:space="preserve"> hos produsent, f.eks. teknisk sjef eller daglig leder. Stoffer som skal unngås kan ikke finnes i produktet, verken i fri, i bunden eller i naturlig form. </t>
    </r>
  </si>
  <si>
    <t>Juridisk ansvarlig:</t>
  </si>
  <si>
    <t>Stilling:</t>
  </si>
  <si>
    <t>Dato:</t>
  </si>
  <si>
    <t>Registreringsdato for prosjektet:</t>
  </si>
  <si>
    <t>Note 1</t>
  </si>
  <si>
    <t>Note 2</t>
  </si>
  <si>
    <t>Note 3</t>
  </si>
  <si>
    <t xml:space="preserve">1. EN 717-1:2004 </t>
  </si>
  <si>
    <t>Testkrav:
1. EN 717-1:2004</t>
  </si>
  <si>
    <t>2. EN 13999-2:2007 – VOC (flyktige organiske forbindelser)
3. EN 13999-3:2007 – Flyktige aldehyder</t>
  </si>
  <si>
    <t>4. EN 13999-4:2007 – Flyktige diisocyanater
5. EN 12149:1997</t>
  </si>
  <si>
    <t>Produsent:</t>
  </si>
  <si>
    <t>Handelsnavn:</t>
  </si>
  <si>
    <t>Jeg bekrefter at ovennevnte opplysninger er korrekte og gitt etter beste evne, og er klar over at feilaktige og/eller villedende opplysninger kan få juridiske konsekvenser.</t>
  </si>
  <si>
    <t>e</t>
  </si>
  <si>
    <t>h</t>
  </si>
  <si>
    <t>f</t>
  </si>
  <si>
    <t>j</t>
  </si>
  <si>
    <t>g</t>
  </si>
  <si>
    <t>b</t>
  </si>
  <si>
    <t>Nei</t>
  </si>
  <si>
    <t>Ja</t>
  </si>
  <si>
    <t>a</t>
  </si>
  <si>
    <t>c</t>
  </si>
  <si>
    <t>d</t>
  </si>
  <si>
    <t>i</t>
  </si>
  <si>
    <t>k</t>
  </si>
  <si>
    <t>l</t>
  </si>
  <si>
    <t>mg/m²h</t>
  </si>
  <si>
    <t>mg/m³</t>
  </si>
  <si>
    <t>Kommentarer:</t>
  </si>
  <si>
    <t>A20</t>
  </si>
  <si>
    <t>Type deklarasjon:</t>
  </si>
  <si>
    <t>Tilbake til utfylling</t>
  </si>
  <si>
    <t>Type</t>
  </si>
  <si>
    <t>Handelsnavn</t>
  </si>
  <si>
    <t>VOC-innhold</t>
  </si>
  <si>
    <t>Svanen</t>
  </si>
  <si>
    <t>Signatur juridisk ansvarlig hos produsent:</t>
  </si>
  <si>
    <t>bruker inndelingen over på maling og lakk. Vi ber om at samme inndeling av type (a, b, c,..., l) benyttes i kolonne 2 i tabellen der produktinformasjon deklareres.</t>
  </si>
  <si>
    <t>EUs malingsdirektiv (2004/42/EC) og forskrift om begrensning i bruk av helse- og miljøfarlige kjemikalier og andre produkter (produktforskriften) vedlegg VII</t>
  </si>
  <si>
    <t>til § 2-24 til § 2-26 om organiske forbindelser i maling- og lakkeringsprodukter</t>
  </si>
  <si>
    <t>For faste bygningsprodukter vil godkjent dokumentasjon være ett av følgende:</t>
  </si>
  <si>
    <t>Er produsenten i tvil, bør man benytte egne interne og eksterne konsulenter.</t>
  </si>
  <si>
    <t>k) Flerfargede malinger
l) Effektmaling</t>
  </si>
  <si>
    <t>i) Enkomponent spesialmaling
j) Tokomponent spesialmaling</t>
  </si>
  <si>
    <t>g) Grunning
h) Heftgrunning</t>
  </si>
  <si>
    <t>c) Utendørs maling for mineralske flater
d) Maling for treverk, metall og plast innendørs/utendørs
e) Lakk, lasur og beis for innendørs/utendørs behandling av tre, metall og plast
f) Tynnsjiktet lasur, olje eller beis</t>
  </si>
  <si>
    <t>a) Matt innendørs vegg- og takmaling (glansgrad ≤ 25 @ 60°).
b) Blank innendørs vegg- og takmaling (glansgrad &gt; 25 @ 60°).</t>
  </si>
  <si>
    <t>Under grenseverdien *</t>
  </si>
  <si>
    <t xml:space="preserve"> All interiørmaling og lakk er dessuten også motstandsdyktig mot sopp og alger (før påføring).</t>
  </si>
  <si>
    <t xml:space="preserve">* Interiørmaling og lakk har blitt testet mot EN ISO 11890-2:2006 Malinger og lakk. Bestemmelse av VOC-innhold (flyktige organiske forbindelser). Gasskromatografisk metode og tilfredsstiller de maksimale grenseverdiene for VOC-innhold i fase II som fastsatt i tillegg II til direktiv 2004/42/EC om interiørmaling. </t>
  </si>
  <si>
    <t>g/l</t>
  </si>
  <si>
    <t>Det finnes ett stoff på listen som ikke oppfyller dokumentasjonskravet. Produktet/produktene tilfredsstiller derfor ikke HEA 9-kravene til BREEAM-NOR.</t>
  </si>
  <si>
    <t>Det finnes tre stoffer på listen som ikke oppfyller dokumentasjonskravet. Produktet/produktene tilfredsstiller derfor ikke HEA 9-kravene til BREEAM-NOR.</t>
  </si>
  <si>
    <t>Det finnes fire stoffer på listen som ikke oppfyller dokumentasjonskravet. Produktet/produktene tilfredsstiller derfor ikke HEA 9-kravene til BREEAM-NOR.</t>
  </si>
  <si>
    <t>Det finnes fem stoffer på listen som ikke oppfyller dokumentasjonskravet. Produktet/produktene tilfredsstiller derfor ikke HEA 9-kravene til BREEAM-NOR.</t>
  </si>
  <si>
    <t>Det finnes seks stoffer på listen som ikke oppfyller dokumentasjonskravet. Produktet/produktene tilfredsstiller derfor ikke HEA 9-kravene til BREEAM-NOR.</t>
  </si>
  <si>
    <t>Det finnes syv stoffer på listen som ikke oppfyller dokumentasjonskravet. Produktet/produktene tilfredsstiller derfor ikke HEA 9-kravene til BREEAM-NOR.</t>
  </si>
  <si>
    <t>Det finnes åtte stoffer på listen som ikke oppfyller dokumentasjonskravet. Produktet/produktene tilfredsstiller derfor ikke HEA 9-kravene til BREEAM-NOR.</t>
  </si>
  <si>
    <t>Det finnes ni stoffer på listen som ikke oppfyller dokumentasjonskravet. Produktet/produktene tilfredsstiller derfor ikke HEA 9-kravene til BREEAM-NOR.</t>
  </si>
  <si>
    <t>Det finnes ti stoffer på listen som ikke oppfyller dokumentasjonskravet. Produktet/produktene tilfredsstiller derfor ikke HEA 9-kravene til BREEAM-NOR.</t>
  </si>
  <si>
    <t>Det finnes to stoffer på listen som ikke oppfyller dokumentasjonskravet. Produktet/produktene tilfredsstiller derfor ikke A20-kravene til BREEAM-NOR.</t>
  </si>
  <si>
    <t>Det finnes tre stoffer på listen som ikke oppfyller dokumentasjonskravet. Produktet/produktene tilfredsstiller derfor ikke A20-kravene til BREEAM-NOR.</t>
  </si>
  <si>
    <t>Det finnes fire stoffer på listen som ikke oppfyller dokumentasjonskravet. Produktet/produktene tilfredsstiller derfor ikke A20-kravene til BREEAM-NOR.</t>
  </si>
  <si>
    <t>Det finnes fem stoffer på listen som ikke oppfyller dokumentasjonskravet. Produktet/produktene tilfredsstiller derfor ikke A20-kravene til BREEAM-NOR.</t>
  </si>
  <si>
    <t>Det finnes seks stoffer på listen som ikke oppfyller dokumentasjonskravet. Produktet/produktene tilfredsstiller derfor ikke A20-kravene til BREEAM-NOR.</t>
  </si>
  <si>
    <t>Det finnes syv stoffer på listen som ikke oppfyller dokumentasjonskravet. Produktet/produktene tilfredsstiller derfor ikke A20-kravene til BREEAM-NOR.</t>
  </si>
  <si>
    <t>Det finnes åtte stoffer på listen som ikke oppfyller dokumentasjonskravet. Produktet/produktene tilfredsstiller derfor ikke A20-kravene til BREEAM-NOR.</t>
  </si>
  <si>
    <t>Det finnes ni stoffer på listen som ikke oppfyller dokumentasjonskravet. Produktet/produktene tilfredsstiller derfor ikke A20-kravene til BREEAM-NOR.</t>
  </si>
  <si>
    <t>Det finnes ti stoffer på listen som ikke oppfyller dokumentasjonskravet. Produktet/produktene tilfredsstiller derfor ikke A20-kravene til BREEAM-NOR.</t>
  </si>
  <si>
    <t>A-20 14.03.2012 til 30.03.2013</t>
  </si>
  <si>
    <t>A-20 etter 01.04.2013</t>
  </si>
  <si>
    <t xml:space="preserve"> ¹⁾</t>
  </si>
  <si>
    <t>²⁾</t>
  </si>
  <si>
    <t xml:space="preserve">Konsentrasjoner under grenseverdien på ≤ 0,1 % godtas. Det er forutsatt at informasjonen i A20-listen er kjent. Bemerk dato på deklarasjonsskjema må samsvare med gjeldende prosessnotat i det angitte tidsrom. </t>
  </si>
  <si>
    <t>&lt; 0,1 %</t>
  </si>
  <si>
    <t>Vannbasert</t>
  </si>
  <si>
    <t>Løsemiddelbasert</t>
  </si>
  <si>
    <t xml:space="preserve"> Karakter 1-6 (grønn eller hvit) iht. ECOproduct (Norsk Byggtjeneste), Sintef Byggforsk Teknisk Godkjenning utarbeidet etter 1. januar 2010, Miljømerket Svanen eller EU-blomsten. For kjemiske produkter kan man også sjekke opp mot sikkerhetsdatabladet (SDS) for produktet.</t>
  </si>
  <si>
    <t>1. Velg Fil/skriv ut/Adobe PDF</t>
  </si>
  <si>
    <t>2 . Lagre dokumentet som PDF-fil</t>
  </si>
  <si>
    <t>3. Skriv ut dokumentet og signer</t>
  </si>
  <si>
    <t>4. Skann dokumentet, og publiser</t>
  </si>
  <si>
    <t>Versjon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</si>
</sst>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b/>
      <sz val="11"/>
      <color theme="1"/>
      <name val="Calibri"/>
      <family val="2"/>
      <scheme val="minor"/>
    </font>
    <font>
      <vertAlign val="superscript"/>
      <sz val="8"/>
      <color theme="1"/>
      <name val="Arial"/>
      <family val="2"/>
    </font>
    <font>
      <u/>
      <sz val="11"/>
      <color theme="10"/>
      <name val="Calibri"/>
      <family val="2"/>
      <scheme val="minor"/>
    </font>
    <font>
      <sz val="11"/>
      <color theme="1"/>
      <name val="Calibri"/>
      <family val="2"/>
    </font>
    <font>
      <i/>
      <sz val="11"/>
      <color theme="1"/>
      <name val="Calibri"/>
      <family val="2"/>
      <scheme val="minor"/>
    </font>
    <font>
      <b/>
      <sz val="14"/>
      <color theme="1"/>
      <name val="Calibri"/>
      <family val="2"/>
      <scheme val="minor"/>
    </font>
    <font>
      <sz val="10"/>
      <color theme="1"/>
      <name val="Calibri"/>
      <family val="2"/>
      <scheme val="minor"/>
    </font>
    <font>
      <vertAlign val="superscript"/>
      <sz val="11"/>
      <color theme="1"/>
      <name val="Calibri"/>
      <family val="2"/>
    </font>
    <font>
      <sz val="8"/>
      <color rgb="FF000000"/>
      <name val="Segoe UI"/>
      <family val="2"/>
    </font>
    <font>
      <b/>
      <sz val="12"/>
      <color theme="1"/>
      <name val="Calibri"/>
      <family val="2"/>
      <scheme val="minor"/>
    </font>
    <font>
      <b/>
      <sz val="16"/>
      <color theme="1"/>
      <name val="Calibri"/>
      <family val="2"/>
      <scheme val="minor"/>
    </font>
    <font>
      <sz val="8"/>
      <color theme="1"/>
      <name val="Calibri"/>
      <family val="2"/>
      <scheme val="minor"/>
    </font>
    <font>
      <b/>
      <sz val="10"/>
      <color theme="1"/>
      <name val="Calibri"/>
      <family val="2"/>
      <scheme val="minor"/>
    </font>
    <font>
      <sz val="11"/>
      <color rgb="FF004C99"/>
      <name val="Helvetica Neue"/>
      <charset val="1"/>
    </font>
    <font>
      <i/>
      <sz val="10"/>
      <color theme="1"/>
      <name val="Calibri"/>
      <family val="2"/>
      <scheme val="minor"/>
    </font>
    <font>
      <i/>
      <sz val="9"/>
      <color theme="1"/>
      <name val="Calibri"/>
      <family val="2"/>
      <scheme val="minor"/>
    </font>
    <font>
      <b/>
      <u/>
      <sz val="11"/>
      <color theme="10"/>
      <name val="Calibri"/>
      <family val="2"/>
      <scheme val="minor"/>
    </font>
    <font>
      <i/>
      <sz val="8"/>
      <color theme="9" tint="-0.499984740745262"/>
      <name val="Calibri"/>
      <family val="2"/>
      <scheme val="minor"/>
    </font>
    <font>
      <b/>
      <sz val="11"/>
      <name val="Calibri"/>
      <family val="2"/>
      <scheme val="minor"/>
    </font>
    <font>
      <sz val="11"/>
      <color rgb="FF333333"/>
      <name val="Helvetica Neue"/>
      <charset val="1"/>
    </font>
    <font>
      <i/>
      <sz val="11"/>
      <color rgb="FF333333"/>
      <name val="Helvetica Neue"/>
      <charset val="1"/>
    </font>
    <font>
      <i/>
      <sz val="8"/>
      <color theme="1"/>
      <name val="Calibri"/>
      <family val="2"/>
      <scheme val="minor"/>
    </font>
    <font>
      <i/>
      <sz val="14"/>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0EBB3"/>
        <bgColor indexed="64"/>
      </patternFill>
    </fill>
    <fill>
      <patternFill patternType="solid">
        <fgColor rgb="FFE9F5DB"/>
        <bgColor indexed="64"/>
      </patternFill>
    </fill>
    <fill>
      <patternFill patternType="solid">
        <fgColor rgb="FF92D050"/>
        <bgColor indexed="64"/>
      </patternFill>
    </fill>
  </fills>
  <borders count="17">
    <border>
      <left/>
      <right/>
      <top/>
      <bottom/>
      <diagonal/>
    </border>
    <border>
      <left/>
      <right/>
      <top/>
      <bottom style="thin">
        <color indexed="64"/>
      </bottom>
      <diagonal/>
    </border>
    <border>
      <left/>
      <right/>
      <top style="thin">
        <color indexed="64"/>
      </top>
      <bottom/>
      <diagonal/>
    </border>
    <border>
      <left/>
      <right/>
      <top style="thin">
        <color theme="0" tint="-0.499984740745262"/>
      </top>
      <bottom/>
      <diagonal/>
    </border>
    <border>
      <left/>
      <right/>
      <top/>
      <bottom style="thin">
        <color theme="0"/>
      </bottom>
      <diagonal/>
    </border>
    <border>
      <left style="thin">
        <color theme="0" tint="-0.499984740745262"/>
      </left>
      <right/>
      <top style="thin">
        <color theme="0" tint="-0.499984740745262"/>
      </top>
      <bottom/>
      <diagonal/>
    </border>
    <border>
      <left/>
      <right style="thin">
        <color theme="0"/>
      </right>
      <top style="thin">
        <color theme="0" tint="-0.499984740745262"/>
      </top>
      <bottom/>
      <diagonal/>
    </border>
    <border>
      <left style="thin">
        <color theme="0" tint="-0.499984740745262"/>
      </left>
      <right/>
      <top/>
      <bottom style="thin">
        <color theme="0"/>
      </bottom>
      <diagonal/>
    </border>
    <border>
      <left/>
      <right style="thin">
        <color theme="0"/>
      </right>
      <top/>
      <bottom style="thin">
        <color theme="0"/>
      </bottom>
      <diagonal/>
    </border>
    <border>
      <left style="thin">
        <color theme="0" tint="-0.499984740745262"/>
      </left>
      <right/>
      <top style="thin">
        <color theme="0" tint="-0.499984740745262"/>
      </top>
      <bottom style="thin">
        <color theme="0"/>
      </bottom>
      <diagonal/>
    </border>
    <border>
      <left/>
      <right/>
      <top style="thin">
        <color theme="0" tint="-0.499984740745262"/>
      </top>
      <bottom style="thin">
        <color theme="0"/>
      </bottom>
      <diagonal/>
    </border>
    <border>
      <left/>
      <right style="thin">
        <color theme="0"/>
      </right>
      <top style="thin">
        <color theme="0" tint="-0.499984740745262"/>
      </top>
      <bottom style="thin">
        <color theme="0"/>
      </bottom>
      <diagonal/>
    </border>
    <border>
      <left style="thin">
        <color theme="0" tint="-0.499984740745262"/>
      </left>
      <right/>
      <top/>
      <bottom/>
      <diagonal/>
    </border>
    <border>
      <left/>
      <right style="thin">
        <color theme="0"/>
      </right>
      <top/>
      <bottom/>
      <diagonal/>
    </border>
    <border>
      <left/>
      <right/>
      <top/>
      <bottom style="thin">
        <color theme="0" tint="-0.499984740745262"/>
      </bottom>
      <diagonal/>
    </border>
    <border>
      <left/>
      <right style="thin">
        <color theme="0" tint="-0.499984740745262"/>
      </right>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200">
    <xf numFmtId="0" fontId="0" fillId="0" borderId="0" xfId="0"/>
    <xf numFmtId="0" fontId="0" fillId="0" borderId="0" xfId="0" applyFill="1"/>
    <xf numFmtId="0" fontId="0" fillId="0" borderId="0" xfId="0" applyProtection="1">
      <protection locked="0"/>
    </xf>
    <xf numFmtId="0" fontId="0" fillId="0" borderId="0" xfId="0" applyFill="1" applyProtection="1">
      <protection locked="0"/>
    </xf>
    <xf numFmtId="0" fontId="0" fillId="0" borderId="0" xfId="0" applyFill="1" applyBorder="1" applyProtection="1">
      <protection locked="0"/>
    </xf>
    <xf numFmtId="0" fontId="0" fillId="0" borderId="0" xfId="0" applyFill="1" applyAlignment="1" applyProtection="1">
      <alignment vertical="top" wrapText="1"/>
      <protection locked="0"/>
    </xf>
    <xf numFmtId="14" fontId="0" fillId="0" borderId="0" xfId="0" applyNumberFormat="1" applyFill="1" applyProtection="1">
      <protection locked="0"/>
    </xf>
    <xf numFmtId="0" fontId="0" fillId="0" borderId="0" xfId="0" quotePrefix="1" applyFill="1" applyBorder="1" applyProtection="1">
      <protection locked="0"/>
    </xf>
    <xf numFmtId="0" fontId="0" fillId="0" borderId="0" xfId="0" applyFill="1" applyAlignment="1" applyProtection="1">
      <protection locked="0"/>
    </xf>
    <xf numFmtId="0" fontId="0" fillId="0" borderId="0" xfId="0" applyFill="1" applyAlignment="1" applyProtection="1">
      <alignment vertical="center" wrapText="1"/>
      <protection locked="0"/>
    </xf>
    <xf numFmtId="0" fontId="0" fillId="0" borderId="0" xfId="0" applyFill="1" applyBorder="1" applyAlignment="1" applyProtection="1">
      <protection locked="0"/>
    </xf>
    <xf numFmtId="0" fontId="0" fillId="0" borderId="0" xfId="0" applyFill="1" applyAlignment="1" applyProtection="1">
      <alignment wrapText="1"/>
      <protection locked="0"/>
    </xf>
    <xf numFmtId="0" fontId="0" fillId="2" borderId="0" xfId="0" applyFill="1" applyProtection="1">
      <protection locked="0"/>
    </xf>
    <xf numFmtId="0" fontId="0" fillId="0" borderId="0" xfId="0" quotePrefix="1" applyProtection="1">
      <protection locked="0"/>
    </xf>
    <xf numFmtId="0" fontId="0" fillId="4" borderId="0" xfId="0" applyFill="1" applyProtection="1">
      <protection hidden="1"/>
    </xf>
    <xf numFmtId="0" fontId="0" fillId="0" borderId="0" xfId="0" applyProtection="1">
      <protection hidden="1"/>
    </xf>
    <xf numFmtId="0" fontId="0" fillId="4" borderId="0" xfId="0" applyFill="1" applyBorder="1" applyProtection="1">
      <protection hidden="1"/>
    </xf>
    <xf numFmtId="0" fontId="6" fillId="4" borderId="1" xfId="0" applyFont="1" applyFill="1" applyBorder="1" applyAlignment="1" applyProtection="1">
      <alignment horizontal="left" indent="1"/>
      <protection hidden="1"/>
    </xf>
    <xf numFmtId="0" fontId="0" fillId="4" borderId="1" xfId="0" applyFont="1" applyFill="1" applyBorder="1" applyProtection="1">
      <protection hidden="1"/>
    </xf>
    <xf numFmtId="0" fontId="1" fillId="4" borderId="0" xfId="0" applyFont="1" applyFill="1" applyProtection="1">
      <protection hidden="1"/>
    </xf>
    <xf numFmtId="0" fontId="0" fillId="4" borderId="0" xfId="0" applyFont="1" applyFill="1" applyAlignment="1" applyProtection="1">
      <alignment horizontal="left" vertical="center"/>
      <protection hidden="1"/>
    </xf>
    <xf numFmtId="0" fontId="19" fillId="4" borderId="0" xfId="1" applyFont="1" applyFill="1" applyProtection="1">
      <protection hidden="1"/>
    </xf>
    <xf numFmtId="0" fontId="17" fillId="4" borderId="0" xfId="1" applyFont="1" applyFill="1" applyProtection="1">
      <protection hidden="1"/>
    </xf>
    <xf numFmtId="0" fontId="0" fillId="4" borderId="0" xfId="0" applyFont="1" applyFill="1" applyProtection="1">
      <protection hidden="1"/>
    </xf>
    <xf numFmtId="0" fontId="5" fillId="4" borderId="0" xfId="0" applyFont="1" applyFill="1" applyProtection="1">
      <protection hidden="1"/>
    </xf>
    <xf numFmtId="0" fontId="0" fillId="4" borderId="0" xfId="0" applyFill="1" applyBorder="1" applyAlignment="1" applyProtection="1">
      <alignment vertical="center" wrapText="1"/>
      <protection hidden="1"/>
    </xf>
    <xf numFmtId="0" fontId="0" fillId="4" borderId="0" xfId="0" applyFill="1" applyBorder="1" applyAlignment="1" applyProtection="1">
      <alignment horizontal="left" vertical="top" wrapText="1"/>
      <protection hidden="1"/>
    </xf>
    <xf numFmtId="0" fontId="0" fillId="4" borderId="0" xfId="0" applyFill="1" applyAlignment="1" applyProtection="1">
      <protection hidden="1"/>
    </xf>
    <xf numFmtId="0" fontId="0" fillId="4" borderId="0" xfId="0" applyFill="1" applyAlignment="1" applyProtection="1">
      <alignment vertical="center" wrapText="1"/>
      <protection hidden="1"/>
    </xf>
    <xf numFmtId="0" fontId="0" fillId="4" borderId="0" xfId="0" applyFill="1" applyAlignment="1" applyProtection="1">
      <alignment vertical="top"/>
      <protection hidden="1"/>
    </xf>
    <xf numFmtId="0" fontId="0" fillId="4" borderId="0" xfId="0" applyFill="1" applyAlignment="1" applyProtection="1">
      <alignment horizontal="left" vertical="center" wrapText="1"/>
      <protection hidden="1"/>
    </xf>
    <xf numFmtId="0" fontId="0" fillId="4" borderId="0" xfId="0" applyFill="1" applyAlignment="1" applyProtection="1">
      <alignment horizontal="center" vertical="center"/>
      <protection hidden="1"/>
    </xf>
    <xf numFmtId="0" fontId="0" fillId="4" borderId="0" xfId="0" applyFill="1" applyAlignment="1" applyProtection="1">
      <alignment horizontal="left" vertical="top" wrapText="1"/>
      <protection hidden="1"/>
    </xf>
    <xf numFmtId="0" fontId="0" fillId="4" borderId="0" xfId="0" applyFill="1" applyAlignment="1" applyProtection="1">
      <alignment vertical="top" wrapText="1"/>
      <protection hidden="1"/>
    </xf>
    <xf numFmtId="0" fontId="0" fillId="4" borderId="0" xfId="0" applyFill="1" applyAlignment="1" applyProtection="1">
      <alignment horizontal="center" vertical="center" wrapText="1"/>
      <protection hidden="1"/>
    </xf>
    <xf numFmtId="0" fontId="0" fillId="4" borderId="0" xfId="0" applyFill="1" applyAlignment="1" applyProtection="1">
      <alignment horizontal="center" wrapText="1"/>
      <protection hidden="1"/>
    </xf>
    <xf numFmtId="0" fontId="0" fillId="4" borderId="0" xfId="0" applyFill="1" applyAlignment="1" applyProtection="1">
      <alignment horizontal="left" vertical="top" wrapText="1" indent="1"/>
      <protection hidden="1"/>
    </xf>
    <xf numFmtId="0" fontId="7" fillId="4" borderId="0" xfId="0" applyFont="1" applyFill="1" applyAlignment="1" applyProtection="1">
      <alignment horizontal="left" vertical="center" wrapText="1" indent="1"/>
      <protection hidden="1"/>
    </xf>
    <xf numFmtId="0" fontId="0" fillId="4" borderId="0" xfId="0" applyFill="1" applyAlignment="1" applyProtection="1">
      <alignment horizontal="left" indent="1"/>
      <protection hidden="1"/>
    </xf>
    <xf numFmtId="0" fontId="0" fillId="4" borderId="0" xfId="0" applyFill="1" applyAlignment="1" applyProtection="1">
      <alignment horizontal="left" wrapText="1" indent="1"/>
      <protection hidden="1"/>
    </xf>
    <xf numFmtId="0" fontId="3" fillId="4" borderId="0" xfId="1" applyFill="1" applyProtection="1">
      <protection hidden="1"/>
    </xf>
    <xf numFmtId="0" fontId="1" fillId="4" borderId="0" xfId="0" applyFont="1" applyFill="1" applyAlignment="1" applyProtection="1">
      <alignment vertical="top" wrapText="1"/>
      <protection hidden="1"/>
    </xf>
    <xf numFmtId="0" fontId="0" fillId="4" borderId="0" xfId="0" applyFont="1" applyFill="1" applyBorder="1" applyAlignment="1" applyProtection="1">
      <alignment horizontal="center" vertical="center" wrapText="1"/>
      <protection hidden="1"/>
    </xf>
    <xf numFmtId="0" fontId="0" fillId="4" borderId="0" xfId="0" applyFont="1" applyFill="1" applyBorder="1" applyAlignment="1" applyProtection="1">
      <alignment vertical="center" wrapText="1"/>
      <protection hidden="1"/>
    </xf>
    <xf numFmtId="0" fontId="1" fillId="4" borderId="0" xfId="0" applyFont="1" applyFill="1" applyBorder="1" applyAlignment="1" applyProtection="1">
      <alignment vertical="top" wrapText="1"/>
      <protection hidden="1"/>
    </xf>
    <xf numFmtId="0" fontId="1" fillId="4" borderId="0" xfId="0" applyFont="1" applyFill="1" applyAlignment="1" applyProtection="1">
      <alignment horizontal="center" vertical="top" wrapText="1"/>
      <protection hidden="1"/>
    </xf>
    <xf numFmtId="0" fontId="0" fillId="4" borderId="15" xfId="0" applyFill="1" applyBorder="1" applyProtection="1">
      <protection hidden="1"/>
    </xf>
    <xf numFmtId="0" fontId="0" fillId="5" borderId="5" xfId="0" applyFill="1" applyBorder="1" applyAlignment="1" applyProtection="1">
      <alignment horizontal="left" indent="1"/>
      <protection hidden="1"/>
    </xf>
    <xf numFmtId="0" fontId="0" fillId="5" borderId="3" xfId="0" applyFill="1" applyBorder="1" applyProtection="1">
      <protection hidden="1"/>
    </xf>
    <xf numFmtId="0" fontId="0" fillId="5" borderId="6" xfId="0" applyFill="1" applyBorder="1" applyProtection="1">
      <protection hidden="1"/>
    </xf>
    <xf numFmtId="0" fontId="0" fillId="5" borderId="12" xfId="0" applyFill="1" applyBorder="1" applyAlignment="1" applyProtection="1">
      <alignment horizontal="left" indent="1"/>
      <protection hidden="1"/>
    </xf>
    <xf numFmtId="0" fontId="0" fillId="5" borderId="0" xfId="0" applyFill="1" applyBorder="1" applyProtection="1">
      <protection hidden="1"/>
    </xf>
    <xf numFmtId="0" fontId="0" fillId="5" borderId="13" xfId="0" applyFill="1" applyBorder="1" applyProtection="1">
      <protection hidden="1"/>
    </xf>
    <xf numFmtId="0" fontId="0" fillId="5" borderId="7" xfId="0" applyFill="1" applyBorder="1" applyAlignment="1" applyProtection="1">
      <alignment horizontal="left" indent="1"/>
      <protection hidden="1"/>
    </xf>
    <xf numFmtId="0" fontId="0" fillId="5" borderId="4" xfId="0" applyFill="1" applyBorder="1" applyProtection="1">
      <protection hidden="1"/>
    </xf>
    <xf numFmtId="0" fontId="0" fillId="5" borderId="8" xfId="0" applyFill="1" applyBorder="1" applyProtection="1">
      <protection hidden="1"/>
    </xf>
    <xf numFmtId="0" fontId="0" fillId="4" borderId="0" xfId="0" applyFont="1" applyFill="1" applyBorder="1" applyAlignment="1" applyProtection="1">
      <alignment horizontal="center" vertical="center" wrapText="1"/>
      <protection locked="0" hidden="1"/>
    </xf>
    <xf numFmtId="0" fontId="0" fillId="4" borderId="0" xfId="0" applyFill="1" applyProtection="1">
      <protection locked="0" hidden="1"/>
    </xf>
    <xf numFmtId="0" fontId="0" fillId="4" borderId="3" xfId="0" applyFill="1" applyBorder="1" applyProtection="1">
      <protection hidden="1"/>
    </xf>
    <xf numFmtId="0" fontId="0" fillId="4" borderId="14" xfId="0" applyFill="1" applyBorder="1" applyProtection="1">
      <protection hidden="1"/>
    </xf>
    <xf numFmtId="0" fontId="6" fillId="3" borderId="1" xfId="0" applyFont="1" applyFill="1" applyBorder="1" applyProtection="1">
      <protection hidden="1"/>
    </xf>
    <xf numFmtId="0" fontId="0" fillId="3" borderId="1" xfId="0" applyFill="1" applyBorder="1" applyProtection="1">
      <protection hidden="1"/>
    </xf>
    <xf numFmtId="0" fontId="0" fillId="4" borderId="12" xfId="0" applyFill="1" applyBorder="1" applyProtection="1">
      <protection hidden="1"/>
    </xf>
    <xf numFmtId="0" fontId="7" fillId="3" borderId="0" xfId="0" applyFont="1" applyFill="1" applyBorder="1" applyAlignment="1" applyProtection="1">
      <alignment horizontal="left" vertical="top" wrapText="1"/>
      <protection hidden="1"/>
    </xf>
    <xf numFmtId="0" fontId="1" fillId="3" borderId="0" xfId="0" applyFont="1" applyFill="1" applyProtection="1">
      <protection hidden="1"/>
    </xf>
    <xf numFmtId="0" fontId="0" fillId="3" borderId="0" xfId="0" applyFill="1" applyProtection="1">
      <protection hidden="1"/>
    </xf>
    <xf numFmtId="0" fontId="11" fillId="3" borderId="0" xfId="0" applyFont="1" applyFill="1" applyAlignment="1" applyProtection="1">
      <alignment vertical="center" wrapText="1"/>
      <protection hidden="1"/>
    </xf>
    <xf numFmtId="0" fontId="0" fillId="3" borderId="0" xfId="0" applyFont="1" applyFill="1" applyAlignment="1" applyProtection="1">
      <alignment vertical="top"/>
      <protection hidden="1"/>
    </xf>
    <xf numFmtId="0" fontId="14" fillId="0" borderId="0" xfId="0" applyFont="1" applyProtection="1">
      <protection hidden="1"/>
    </xf>
    <xf numFmtId="0" fontId="4" fillId="3" borderId="0" xfId="0" applyFont="1" applyFill="1" applyBorder="1" applyAlignment="1" applyProtection="1">
      <alignment vertical="center"/>
      <protection hidden="1"/>
    </xf>
    <xf numFmtId="0" fontId="10" fillId="3" borderId="0" xfId="0" applyFont="1" applyFill="1" applyAlignment="1" applyProtection="1">
      <alignment vertical="top" wrapText="1"/>
      <protection hidden="1"/>
    </xf>
    <xf numFmtId="0" fontId="7" fillId="3" borderId="0" xfId="0" applyFont="1" applyFill="1" applyAlignment="1" applyProtection="1">
      <alignment vertical="center" wrapText="1"/>
      <protection hidden="1"/>
    </xf>
    <xf numFmtId="0" fontId="7" fillId="3" borderId="0" xfId="0" applyFont="1" applyFill="1" applyBorder="1" applyAlignment="1" applyProtection="1">
      <alignment vertical="center" wrapText="1"/>
      <protection hidden="1"/>
    </xf>
    <xf numFmtId="0" fontId="13" fillId="3" borderId="1" xfId="0" applyFont="1" applyFill="1" applyBorder="1" applyAlignment="1" applyProtection="1">
      <alignment horizontal="left" indent="1"/>
      <protection hidden="1"/>
    </xf>
    <xf numFmtId="0" fontId="1" fillId="3" borderId="1" xfId="0" applyFont="1" applyFill="1" applyBorder="1" applyProtection="1">
      <protection hidden="1"/>
    </xf>
    <xf numFmtId="0" fontId="7" fillId="3" borderId="0" xfId="0" applyFont="1" applyFill="1" applyProtection="1">
      <protection hidden="1"/>
    </xf>
    <xf numFmtId="0" fontId="7" fillId="3" borderId="0" xfId="0" applyFont="1" applyFill="1" applyAlignment="1" applyProtection="1">
      <alignment horizontal="left" vertical="center" wrapText="1"/>
      <protection hidden="1"/>
    </xf>
    <xf numFmtId="14" fontId="0" fillId="0" borderId="0" xfId="0" applyNumberFormat="1" applyProtection="1">
      <protection hidden="1"/>
    </xf>
    <xf numFmtId="14" fontId="7" fillId="3" borderId="0" xfId="0" applyNumberFormat="1" applyFont="1" applyFill="1" applyAlignment="1" applyProtection="1">
      <alignment horizontal="left" vertical="top"/>
      <protection hidden="1"/>
    </xf>
    <xf numFmtId="0" fontId="7" fillId="3" borderId="0" xfId="0" applyFont="1" applyFill="1" applyAlignment="1" applyProtection="1">
      <alignment horizontal="left" vertical="center"/>
      <protection hidden="1"/>
    </xf>
    <xf numFmtId="0" fontId="15" fillId="3" borderId="0" xfId="0" applyFont="1" applyFill="1" applyProtection="1">
      <protection hidden="1"/>
    </xf>
    <xf numFmtId="0" fontId="0" fillId="3" borderId="0" xfId="0" applyFill="1" applyBorder="1" applyProtection="1">
      <protection hidden="1"/>
    </xf>
    <xf numFmtId="0" fontId="0" fillId="0" borderId="0" xfId="0" applyFill="1" applyProtection="1">
      <protection locked="0" hidden="1"/>
    </xf>
    <xf numFmtId="0" fontId="8" fillId="0" borderId="0" xfId="0" applyFont="1" applyFill="1" applyProtection="1">
      <protection locked="0"/>
    </xf>
    <xf numFmtId="0" fontId="4" fillId="0" borderId="0" xfId="0" applyFont="1" applyFill="1" applyAlignment="1" applyProtection="1">
      <alignment vertical="center" wrapText="1"/>
      <protection locked="0"/>
    </xf>
    <xf numFmtId="0" fontId="2" fillId="0" borderId="0" xfId="0" applyFont="1" applyFill="1" applyAlignment="1" applyProtection="1">
      <alignment vertical="center"/>
      <protection locked="0"/>
    </xf>
    <xf numFmtId="0" fontId="3" fillId="0" borderId="0" xfId="1" applyFill="1" applyAlignment="1" applyProtection="1">
      <alignment vertical="center"/>
      <protection locked="0"/>
    </xf>
    <xf numFmtId="0" fontId="0" fillId="0" borderId="0" xfId="0" applyFill="1" applyAlignment="1" applyProtection="1">
      <alignment vertical="top"/>
      <protection locked="0"/>
    </xf>
    <xf numFmtId="0" fontId="5" fillId="0" borderId="0" xfId="0" applyFont="1" applyFill="1" applyAlignment="1" applyProtection="1">
      <alignment vertical="center"/>
      <protection locked="0" hidden="1"/>
    </xf>
    <xf numFmtId="0" fontId="0" fillId="0" borderId="0" xfId="0" applyFill="1" applyAlignment="1" applyProtection="1">
      <alignment wrapText="1"/>
      <protection locked="0" hidden="1"/>
    </xf>
    <xf numFmtId="0" fontId="0" fillId="0" borderId="0" xfId="0" applyFill="1" applyAlignment="1" applyProtection="1">
      <alignment vertical="top" wrapText="1"/>
      <protection locked="0" hidden="1"/>
    </xf>
    <xf numFmtId="0" fontId="0" fillId="2" borderId="0" xfId="0" applyFill="1" applyBorder="1" applyProtection="1">
      <protection locked="0"/>
    </xf>
    <xf numFmtId="0" fontId="0" fillId="4" borderId="0" xfId="0" applyFill="1" applyAlignment="1" applyProtection="1">
      <alignment horizontal="left" vertical="top" wrapText="1"/>
      <protection hidden="1"/>
    </xf>
    <xf numFmtId="0" fontId="0" fillId="6" borderId="0" xfId="0" applyFill="1" applyAlignment="1" applyProtection="1">
      <protection locked="0"/>
    </xf>
    <xf numFmtId="0" fontId="0" fillId="6" borderId="0" xfId="0" applyFill="1" applyProtection="1">
      <protection locked="0"/>
    </xf>
    <xf numFmtId="0" fontId="0" fillId="6" borderId="0" xfId="0" applyFill="1" applyBorder="1" applyProtection="1">
      <protection locked="0"/>
    </xf>
    <xf numFmtId="0" fontId="20" fillId="0" borderId="0" xfId="0" applyFont="1" applyFill="1" applyAlignment="1">
      <alignment horizontal="right" vertical="top"/>
    </xf>
    <xf numFmtId="0" fontId="21" fillId="0" borderId="0" xfId="0" applyFont="1" applyFill="1" applyAlignment="1">
      <alignment horizontal="left" vertical="top"/>
    </xf>
    <xf numFmtId="0" fontId="0" fillId="4" borderId="0" xfId="0" applyFont="1" applyFill="1" applyBorder="1" applyAlignment="1" applyProtection="1">
      <alignment horizontal="left" vertical="center" wrapText="1" indent="1"/>
      <protection locked="0" hidden="1"/>
    </xf>
    <xf numFmtId="0" fontId="0" fillId="4" borderId="0" xfId="0" applyFont="1" applyFill="1" applyBorder="1" applyAlignment="1" applyProtection="1">
      <alignment horizontal="center" vertical="center" wrapText="1"/>
      <protection locked="0" hidden="1"/>
    </xf>
    <xf numFmtId="0" fontId="0" fillId="6" borderId="0" xfId="0" applyFill="1" applyAlignment="1" applyProtection="1">
      <alignment wrapText="1"/>
      <protection locked="0"/>
    </xf>
    <xf numFmtId="0" fontId="1" fillId="4" borderId="0" xfId="0" applyFont="1" applyFill="1" applyBorder="1" applyAlignment="1" applyProtection="1">
      <alignment horizontal="left" vertical="top"/>
      <protection hidden="1"/>
    </xf>
    <xf numFmtId="0" fontId="0" fillId="4" borderId="0" xfId="0" applyFill="1" applyBorder="1" applyAlignment="1" applyProtection="1">
      <alignment horizontal="left" vertical="top" wrapText="1" indent="1"/>
      <protection hidden="1"/>
    </xf>
    <xf numFmtId="0" fontId="0" fillId="4" borderId="0" xfId="0" applyFill="1" applyBorder="1" applyAlignment="1" applyProtection="1">
      <alignment horizontal="center" wrapText="1"/>
      <protection hidden="1"/>
    </xf>
    <xf numFmtId="0" fontId="7" fillId="4" borderId="0" xfId="0" applyFont="1" applyFill="1" applyAlignment="1" applyProtection="1">
      <alignment vertical="center" wrapText="1"/>
      <protection hidden="1"/>
    </xf>
    <xf numFmtId="0" fontId="0" fillId="4" borderId="0" xfId="0" applyFont="1" applyFill="1" applyBorder="1" applyAlignment="1" applyProtection="1">
      <alignment vertical="center" wrapText="1"/>
      <protection locked="0" hidden="1"/>
    </xf>
    <xf numFmtId="0" fontId="1" fillId="4" borderId="0" xfId="0" applyFont="1" applyFill="1" applyAlignment="1" applyProtection="1">
      <alignment horizontal="left" vertical="top" indent="1"/>
      <protection hidden="1"/>
    </xf>
    <xf numFmtId="0" fontId="7" fillId="3" borderId="0" xfId="0" applyFont="1" applyFill="1" applyAlignment="1" applyProtection="1">
      <alignment horizontal="left" indent="1"/>
      <protection hidden="1"/>
    </xf>
    <xf numFmtId="0" fontId="18" fillId="4" borderId="0" xfId="0" applyFont="1" applyFill="1" applyAlignment="1" applyProtection="1">
      <alignment vertical="center"/>
      <protection hidden="1"/>
    </xf>
    <xf numFmtId="0" fontId="3" fillId="4" borderId="0" xfId="1" applyFill="1" applyProtection="1">
      <protection locked="0" hidden="1"/>
    </xf>
    <xf numFmtId="0" fontId="0" fillId="4" borderId="16" xfId="0" applyFill="1" applyBorder="1" applyProtection="1">
      <protection hidden="1"/>
    </xf>
    <xf numFmtId="0" fontId="0" fillId="0" borderId="0" xfId="0" applyFill="1" applyProtection="1">
      <protection hidden="1"/>
    </xf>
    <xf numFmtId="0" fontId="5" fillId="0" borderId="0" xfId="0" applyFont="1" applyFill="1" applyBorder="1" applyAlignment="1" applyProtection="1">
      <alignment wrapText="1"/>
      <protection hidden="1"/>
    </xf>
    <xf numFmtId="0" fontId="0" fillId="0" borderId="0" xfId="0" applyFill="1" applyAlignment="1" applyProtection="1">
      <alignment vertical="center" wrapText="1"/>
      <protection hidden="1"/>
    </xf>
    <xf numFmtId="0" fontId="0" fillId="4" borderId="5" xfId="0" applyFill="1" applyBorder="1" applyAlignment="1" applyProtection="1">
      <alignment horizontal="left" vertical="center" wrapText="1" indent="1"/>
      <protection locked="0" hidden="1"/>
    </xf>
    <xf numFmtId="0" fontId="0" fillId="4" borderId="3" xfId="0" applyFill="1" applyBorder="1" applyAlignment="1" applyProtection="1">
      <alignment horizontal="left" vertical="center" wrapText="1" indent="1"/>
      <protection locked="0" hidden="1"/>
    </xf>
    <xf numFmtId="0" fontId="0" fillId="4" borderId="6" xfId="0" applyFill="1" applyBorder="1" applyAlignment="1" applyProtection="1">
      <alignment horizontal="left" vertical="center" wrapText="1" indent="1"/>
      <protection locked="0" hidden="1"/>
    </xf>
    <xf numFmtId="0" fontId="0" fillId="4" borderId="12" xfId="0" applyFill="1" applyBorder="1" applyAlignment="1" applyProtection="1">
      <alignment horizontal="left" vertical="center" wrapText="1" indent="1"/>
      <protection locked="0" hidden="1"/>
    </xf>
    <xf numFmtId="0" fontId="0" fillId="4" borderId="0" xfId="0" applyFill="1" applyBorder="1" applyAlignment="1" applyProtection="1">
      <alignment horizontal="left" vertical="center" wrapText="1" indent="1"/>
      <protection locked="0" hidden="1"/>
    </xf>
    <xf numFmtId="0" fontId="0" fillId="4" borderId="13" xfId="0" applyFill="1" applyBorder="1" applyAlignment="1" applyProtection="1">
      <alignment horizontal="left" vertical="center" wrapText="1" indent="1"/>
      <protection locked="0" hidden="1"/>
    </xf>
    <xf numFmtId="0" fontId="0" fillId="4" borderId="7" xfId="0" applyFill="1" applyBorder="1" applyAlignment="1" applyProtection="1">
      <alignment horizontal="left" vertical="center" wrapText="1" indent="1"/>
      <protection locked="0" hidden="1"/>
    </xf>
    <xf numFmtId="0" fontId="0" fillId="4" borderId="4" xfId="0" applyFill="1" applyBorder="1" applyAlignment="1" applyProtection="1">
      <alignment horizontal="left" vertical="center" wrapText="1" indent="1"/>
      <protection locked="0" hidden="1"/>
    </xf>
    <xf numFmtId="0" fontId="0" fillId="4" borderId="8" xfId="0" applyFill="1" applyBorder="1" applyAlignment="1" applyProtection="1">
      <alignment horizontal="left" vertical="center" wrapText="1" indent="1"/>
      <protection locked="0" hidden="1"/>
    </xf>
    <xf numFmtId="0" fontId="0" fillId="4" borderId="0" xfId="0" applyFill="1" applyAlignment="1" applyProtection="1">
      <alignment horizontal="left" vertical="center" wrapText="1" indent="1"/>
      <protection hidden="1"/>
    </xf>
    <xf numFmtId="0" fontId="1" fillId="4" borderId="0" xfId="0" applyFont="1" applyFill="1" applyAlignment="1" applyProtection="1">
      <alignment horizontal="center" vertical="center" wrapText="1"/>
      <protection hidden="1"/>
    </xf>
    <xf numFmtId="0" fontId="0" fillId="4" borderId="5" xfId="0" applyFill="1" applyBorder="1" applyAlignment="1" applyProtection="1">
      <alignment horizontal="center" vertical="center" wrapText="1"/>
      <protection hidden="1"/>
    </xf>
    <xf numFmtId="0" fontId="0" fillId="4" borderId="12" xfId="0" applyFill="1" applyBorder="1" applyAlignment="1" applyProtection="1">
      <alignment horizontal="center" vertical="center" wrapText="1"/>
      <protection hidden="1"/>
    </xf>
    <xf numFmtId="0" fontId="0" fillId="4" borderId="7" xfId="0" applyFill="1" applyBorder="1" applyAlignment="1" applyProtection="1">
      <alignment horizontal="center" vertical="center" wrapText="1"/>
      <protection hidden="1"/>
    </xf>
    <xf numFmtId="0" fontId="0" fillId="4" borderId="3" xfId="0" applyFill="1" applyBorder="1" applyAlignment="1" applyProtection="1">
      <alignment horizontal="left" vertical="center" wrapText="1" indent="1"/>
      <protection hidden="1"/>
    </xf>
    <xf numFmtId="0" fontId="0" fillId="4" borderId="6" xfId="0" applyFill="1" applyBorder="1" applyAlignment="1" applyProtection="1">
      <alignment horizontal="left" vertical="center" wrapText="1" indent="1"/>
      <protection hidden="1"/>
    </xf>
    <xf numFmtId="0" fontId="0" fillId="4" borderId="0" xfId="0" applyFill="1" applyBorder="1" applyAlignment="1" applyProtection="1">
      <alignment horizontal="left" vertical="center" wrapText="1" indent="1"/>
      <protection hidden="1"/>
    </xf>
    <xf numFmtId="0" fontId="0" fillId="4" borderId="13" xfId="0" applyFill="1" applyBorder="1" applyAlignment="1" applyProtection="1">
      <alignment horizontal="left" vertical="center" wrapText="1" indent="1"/>
      <protection hidden="1"/>
    </xf>
    <xf numFmtId="0" fontId="0" fillId="4" borderId="4" xfId="0" applyFill="1" applyBorder="1" applyAlignment="1" applyProtection="1">
      <alignment horizontal="left" vertical="center" wrapText="1" indent="1"/>
      <protection hidden="1"/>
    </xf>
    <xf numFmtId="0" fontId="0" fillId="4" borderId="8" xfId="0" applyFill="1" applyBorder="1" applyAlignment="1" applyProtection="1">
      <alignment horizontal="left" vertical="center" wrapText="1" indent="1"/>
      <protection hidden="1"/>
    </xf>
    <xf numFmtId="0" fontId="12" fillId="3" borderId="0" xfId="0" applyFont="1" applyFill="1" applyBorder="1" applyAlignment="1" applyProtection="1">
      <alignment horizontal="left" vertical="center" wrapText="1"/>
      <protection hidden="1"/>
    </xf>
    <xf numFmtId="0" fontId="12" fillId="3" borderId="0" xfId="0" applyFont="1" applyFill="1" applyBorder="1" applyAlignment="1" applyProtection="1">
      <alignment horizontal="center" vertical="center" wrapText="1"/>
      <protection hidden="1"/>
    </xf>
    <xf numFmtId="0" fontId="12" fillId="3" borderId="0" xfId="0" applyFont="1" applyFill="1" applyBorder="1" applyAlignment="1" applyProtection="1">
      <alignment horizontal="left" vertical="center" wrapText="1" indent="1"/>
      <protection hidden="1"/>
    </xf>
    <xf numFmtId="0" fontId="0" fillId="5" borderId="5" xfId="0" applyFill="1" applyBorder="1" applyAlignment="1" applyProtection="1">
      <alignment horizontal="left" vertical="center" wrapText="1" indent="1"/>
      <protection hidden="1"/>
    </xf>
    <xf numFmtId="0" fontId="0" fillId="5" borderId="3" xfId="0" applyFill="1" applyBorder="1" applyAlignment="1" applyProtection="1">
      <alignment horizontal="left" vertical="center" wrapText="1" indent="1"/>
      <protection hidden="1"/>
    </xf>
    <xf numFmtId="0" fontId="0" fillId="5" borderId="6" xfId="0" applyFill="1" applyBorder="1" applyAlignment="1" applyProtection="1">
      <alignment horizontal="left" vertical="center" wrapText="1" indent="1"/>
      <protection hidden="1"/>
    </xf>
    <xf numFmtId="0" fontId="0" fillId="5" borderId="7" xfId="0" applyFill="1" applyBorder="1" applyAlignment="1" applyProtection="1">
      <alignment horizontal="left" vertical="center" wrapText="1" indent="1"/>
      <protection hidden="1"/>
    </xf>
    <xf numFmtId="0" fontId="0" fillId="5" borderId="4" xfId="0" applyFill="1" applyBorder="1" applyAlignment="1" applyProtection="1">
      <alignment horizontal="left" vertical="center" wrapText="1" indent="1"/>
      <protection hidden="1"/>
    </xf>
    <xf numFmtId="0" fontId="0" fillId="5" borderId="8" xfId="0" applyFill="1" applyBorder="1" applyAlignment="1" applyProtection="1">
      <alignment horizontal="left" vertical="center" wrapText="1" indent="1"/>
      <protection hidden="1"/>
    </xf>
    <xf numFmtId="0" fontId="0" fillId="3" borderId="9" xfId="0" applyFont="1" applyFill="1" applyBorder="1" applyAlignment="1" applyProtection="1">
      <alignment horizontal="left" vertical="center"/>
      <protection locked="0" hidden="1"/>
    </xf>
    <xf numFmtId="0" fontId="0" fillId="3" borderId="10" xfId="0" applyFont="1" applyFill="1" applyBorder="1" applyAlignment="1" applyProtection="1">
      <alignment horizontal="left" vertical="center"/>
      <protection locked="0" hidden="1"/>
    </xf>
    <xf numFmtId="0" fontId="0" fillId="3" borderId="11" xfId="0" applyFont="1" applyFill="1" applyBorder="1" applyAlignment="1" applyProtection="1">
      <alignment horizontal="left" vertical="center"/>
      <protection locked="0" hidden="1"/>
    </xf>
    <xf numFmtId="0" fontId="0" fillId="4" borderId="0" xfId="0" applyFont="1" applyFill="1" applyBorder="1" applyAlignment="1" applyProtection="1">
      <alignment horizontal="left" vertical="center" wrapText="1" indent="1"/>
      <protection locked="0" hidden="1"/>
    </xf>
    <xf numFmtId="0" fontId="7" fillId="4" borderId="0" xfId="0" applyFont="1" applyFill="1" applyAlignment="1" applyProtection="1">
      <alignment horizontal="left" wrapText="1" indent="1"/>
      <protection hidden="1"/>
    </xf>
    <xf numFmtId="0" fontId="7" fillId="4" borderId="0" xfId="0" applyFont="1" applyFill="1" applyAlignment="1" applyProtection="1">
      <alignment horizontal="left" vertical="center" wrapText="1" indent="1"/>
      <protection hidden="1"/>
    </xf>
    <xf numFmtId="0" fontId="7" fillId="4" borderId="0" xfId="0" applyFont="1" applyFill="1" applyAlignment="1" applyProtection="1">
      <alignment horizontal="left" vertical="top" wrapText="1" indent="1"/>
      <protection hidden="1"/>
    </xf>
    <xf numFmtId="0" fontId="5" fillId="3" borderId="0" xfId="0" applyFont="1" applyFill="1" applyAlignment="1" applyProtection="1">
      <alignment horizontal="center"/>
      <protection hidden="1"/>
    </xf>
    <xf numFmtId="0" fontId="0" fillId="3" borderId="0" xfId="0" applyFill="1" applyAlignment="1" applyProtection="1">
      <alignment horizontal="center"/>
      <protection hidden="1"/>
    </xf>
    <xf numFmtId="14" fontId="7" fillId="3" borderId="0" xfId="0" applyNumberFormat="1" applyFont="1" applyFill="1" applyAlignment="1" applyProtection="1">
      <alignment horizontal="left"/>
      <protection hidden="1"/>
    </xf>
    <xf numFmtId="0" fontId="7" fillId="3" borderId="0" xfId="0" applyFont="1" applyFill="1" applyAlignment="1" applyProtection="1">
      <alignment horizontal="left" vertical="center" wrapText="1" indent="1"/>
      <protection hidden="1"/>
    </xf>
    <xf numFmtId="0" fontId="5" fillId="3" borderId="1" xfId="0" applyFont="1" applyFill="1" applyBorder="1" applyAlignment="1" applyProtection="1">
      <alignment horizontal="center"/>
      <protection hidden="1"/>
    </xf>
    <xf numFmtId="0" fontId="16" fillId="3" borderId="0" xfId="0" applyFont="1" applyFill="1" applyBorder="1" applyAlignment="1" applyProtection="1">
      <alignment horizontal="left" vertical="top" wrapText="1" indent="1"/>
      <protection hidden="1"/>
    </xf>
    <xf numFmtId="0" fontId="12" fillId="3" borderId="0" xfId="0" applyFont="1" applyFill="1" applyBorder="1" applyAlignment="1" applyProtection="1">
      <alignment horizontal="center" vertical="center"/>
      <protection hidden="1"/>
    </xf>
    <xf numFmtId="0" fontId="12" fillId="3" borderId="0" xfId="0" applyFont="1" applyFill="1" applyBorder="1" applyAlignment="1" applyProtection="1">
      <alignment horizontal="left" vertical="center"/>
      <protection hidden="1"/>
    </xf>
    <xf numFmtId="0" fontId="7" fillId="3" borderId="2" xfId="0" applyFont="1" applyFill="1" applyBorder="1" applyAlignment="1" applyProtection="1">
      <alignment horizontal="left" vertical="top" wrapText="1"/>
      <protection hidden="1"/>
    </xf>
    <xf numFmtId="0" fontId="7" fillId="3" borderId="0" xfId="0" applyFont="1" applyFill="1" applyBorder="1" applyAlignment="1" applyProtection="1">
      <alignment horizontal="left" vertical="top" wrapText="1"/>
      <protection hidden="1"/>
    </xf>
    <xf numFmtId="0" fontId="11" fillId="3" borderId="0" xfId="0" applyFont="1" applyFill="1" applyAlignment="1" applyProtection="1">
      <alignment horizontal="left" vertical="center" wrapText="1"/>
      <protection hidden="1"/>
    </xf>
    <xf numFmtId="0" fontId="10" fillId="3" borderId="0" xfId="0" applyFont="1" applyFill="1" applyAlignment="1" applyProtection="1">
      <alignment horizontal="left" vertical="top" wrapText="1"/>
      <protection hidden="1"/>
    </xf>
    <xf numFmtId="0" fontId="12" fillId="3" borderId="2"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12" fillId="3" borderId="2" xfId="0" applyFont="1" applyFill="1" applyBorder="1" applyAlignment="1" applyProtection="1">
      <alignment horizontal="left" vertical="center" wrapText="1" indent="1"/>
      <protection hidden="1"/>
    </xf>
    <xf numFmtId="0" fontId="12" fillId="3" borderId="1" xfId="0" applyFont="1" applyFill="1" applyBorder="1" applyAlignment="1" applyProtection="1">
      <alignment horizontal="left" vertical="center" wrapText="1" indent="1"/>
      <protection hidden="1"/>
    </xf>
    <xf numFmtId="0" fontId="10" fillId="3" borderId="0" xfId="0" applyFont="1" applyFill="1" applyAlignment="1" applyProtection="1">
      <alignment horizontal="left" vertical="top"/>
      <protection hidden="1"/>
    </xf>
    <xf numFmtId="0" fontId="13" fillId="3" borderId="1" xfId="0" applyFont="1" applyFill="1" applyBorder="1" applyAlignment="1" applyProtection="1">
      <alignment horizontal="left" indent="1"/>
      <protection hidden="1"/>
    </xf>
    <xf numFmtId="0" fontId="13" fillId="3" borderId="1" xfId="0" applyFont="1" applyFill="1" applyBorder="1" applyAlignment="1" applyProtection="1">
      <alignment horizontal="right" indent="1"/>
      <protection hidden="1"/>
    </xf>
    <xf numFmtId="0" fontId="0" fillId="3" borderId="0" xfId="0" applyFont="1" applyFill="1" applyBorder="1" applyAlignment="1" applyProtection="1">
      <alignment horizontal="left"/>
      <protection hidden="1"/>
    </xf>
    <xf numFmtId="0" fontId="15" fillId="3" borderId="0" xfId="0" applyFont="1" applyFill="1" applyBorder="1" applyAlignment="1" applyProtection="1">
      <alignment horizontal="center" vertical="top" wrapText="1"/>
      <protection hidden="1"/>
    </xf>
    <xf numFmtId="0" fontId="0" fillId="4" borderId="0" xfId="0" applyFill="1" applyAlignment="1" applyProtection="1">
      <alignment horizontal="left" vertical="top" wrapText="1" indent="1"/>
      <protection hidden="1"/>
    </xf>
    <xf numFmtId="0" fontId="1" fillId="4" borderId="0" xfId="0" applyFont="1" applyFill="1" applyAlignment="1" applyProtection="1">
      <alignment horizontal="left" vertical="top" wrapText="1" indent="1"/>
      <protection hidden="1"/>
    </xf>
    <xf numFmtId="0" fontId="5" fillId="4" borderId="0" xfId="0" applyFont="1" applyFill="1" applyBorder="1" applyAlignment="1" applyProtection="1">
      <alignment horizontal="left" vertical="top" wrapText="1" indent="1"/>
      <protection hidden="1"/>
    </xf>
    <xf numFmtId="0" fontId="1" fillId="4" borderId="0" xfId="0" applyFont="1" applyFill="1" applyAlignment="1" applyProtection="1">
      <alignment horizontal="center" vertical="top" wrapText="1"/>
      <protection hidden="1"/>
    </xf>
    <xf numFmtId="0" fontId="22" fillId="4" borderId="0" xfId="0" applyFont="1" applyFill="1" applyAlignment="1" applyProtection="1">
      <alignment horizontal="center" vertical="center"/>
      <protection hidden="1"/>
    </xf>
    <xf numFmtId="0" fontId="0" fillId="0" borderId="0" xfId="0" applyFill="1" applyAlignment="1" applyProtection="1">
      <alignment horizontal="center"/>
      <protection locked="0"/>
    </xf>
    <xf numFmtId="0" fontId="0" fillId="4" borderId="0" xfId="0" applyFill="1" applyAlignment="1" applyProtection="1">
      <alignment horizontal="left" vertical="center" wrapText="1"/>
      <protection hidden="1"/>
    </xf>
    <xf numFmtId="0" fontId="0" fillId="0" borderId="5" xfId="0" applyBorder="1" applyAlignment="1" applyProtection="1">
      <alignment horizontal="center" vertical="top"/>
      <protection locked="0" hidden="1"/>
    </xf>
    <xf numFmtId="0" fontId="0" fillId="0" borderId="3" xfId="0" applyBorder="1" applyAlignment="1" applyProtection="1">
      <alignment horizontal="center" vertical="top"/>
      <protection locked="0" hidden="1"/>
    </xf>
    <xf numFmtId="0" fontId="0" fillId="0" borderId="6" xfId="0" applyBorder="1" applyAlignment="1" applyProtection="1">
      <alignment horizontal="center" vertical="top"/>
      <protection locked="0" hidden="1"/>
    </xf>
    <xf numFmtId="0" fontId="0" fillId="0" borderId="12" xfId="0" applyBorder="1" applyAlignment="1" applyProtection="1">
      <alignment horizontal="center" vertical="top"/>
      <protection locked="0" hidden="1"/>
    </xf>
    <xf numFmtId="0" fontId="0" fillId="0" borderId="0" xfId="0" applyBorder="1" applyAlignment="1" applyProtection="1">
      <alignment horizontal="center" vertical="top"/>
      <protection locked="0" hidden="1"/>
    </xf>
    <xf numFmtId="0" fontId="0" fillId="0" borderId="13" xfId="0" applyBorder="1" applyAlignment="1" applyProtection="1">
      <alignment horizontal="center" vertical="top"/>
      <protection locked="0" hidden="1"/>
    </xf>
    <xf numFmtId="0" fontId="0" fillId="0" borderId="7" xfId="0" applyBorder="1" applyAlignment="1" applyProtection="1">
      <alignment horizontal="center" vertical="top"/>
      <protection locked="0" hidden="1"/>
    </xf>
    <xf numFmtId="0" fontId="0" fillId="0" borderId="4" xfId="0" applyBorder="1" applyAlignment="1" applyProtection="1">
      <alignment horizontal="center" vertical="top"/>
      <protection locked="0" hidden="1"/>
    </xf>
    <xf numFmtId="0" fontId="0" fillId="0" borderId="8" xfId="0" applyBorder="1" applyAlignment="1" applyProtection="1">
      <alignment horizontal="center" vertical="top"/>
      <protection locked="0" hidden="1"/>
    </xf>
    <xf numFmtId="0" fontId="0" fillId="4" borderId="0" xfId="0" applyFill="1" applyAlignment="1" applyProtection="1">
      <alignment horizontal="left" vertical="center"/>
      <protection hidden="1"/>
    </xf>
    <xf numFmtId="0" fontId="15" fillId="5" borderId="5" xfId="0" applyFont="1" applyFill="1" applyBorder="1" applyAlignment="1" applyProtection="1">
      <alignment horizontal="left" vertical="center" wrapText="1" indent="1"/>
      <protection hidden="1"/>
    </xf>
    <xf numFmtId="0" fontId="15" fillId="5" borderId="3" xfId="0" applyFont="1" applyFill="1" applyBorder="1" applyAlignment="1" applyProtection="1">
      <alignment horizontal="left" vertical="center" wrapText="1" indent="1"/>
      <protection hidden="1"/>
    </xf>
    <xf numFmtId="0" fontId="15" fillId="5" borderId="6" xfId="0" applyFont="1" applyFill="1" applyBorder="1" applyAlignment="1" applyProtection="1">
      <alignment horizontal="left" vertical="center" wrapText="1" indent="1"/>
      <protection hidden="1"/>
    </xf>
    <xf numFmtId="0" fontId="15" fillId="5" borderId="12" xfId="0" applyFont="1" applyFill="1" applyBorder="1" applyAlignment="1" applyProtection="1">
      <alignment horizontal="left" vertical="center" wrapText="1" indent="1"/>
      <protection hidden="1"/>
    </xf>
    <xf numFmtId="0" fontId="15" fillId="5" borderId="0" xfId="0" applyFont="1" applyFill="1" applyBorder="1" applyAlignment="1" applyProtection="1">
      <alignment horizontal="left" vertical="center" wrapText="1" indent="1"/>
      <protection hidden="1"/>
    </xf>
    <xf numFmtId="0" fontId="15" fillId="5" borderId="13" xfId="0" applyFont="1" applyFill="1" applyBorder="1" applyAlignment="1" applyProtection="1">
      <alignment horizontal="left" vertical="center" wrapText="1" indent="1"/>
      <protection hidden="1"/>
    </xf>
    <xf numFmtId="0" fontId="15" fillId="5" borderId="7" xfId="0" applyFont="1" applyFill="1" applyBorder="1" applyAlignment="1" applyProtection="1">
      <alignment horizontal="left" vertical="center" wrapText="1" indent="1"/>
      <protection hidden="1"/>
    </xf>
    <xf numFmtId="0" fontId="15" fillId="5" borderId="4" xfId="0" applyFont="1" applyFill="1" applyBorder="1" applyAlignment="1" applyProtection="1">
      <alignment horizontal="left" vertical="center" wrapText="1" indent="1"/>
      <protection hidden="1"/>
    </xf>
    <xf numFmtId="0" fontId="15" fillId="5" borderId="8" xfId="0" applyFont="1" applyFill="1" applyBorder="1" applyAlignment="1" applyProtection="1">
      <alignment horizontal="left" vertical="center" wrapText="1" indent="1"/>
      <protection hidden="1"/>
    </xf>
    <xf numFmtId="0" fontId="0" fillId="4" borderId="0" xfId="0" applyFill="1" applyAlignment="1" applyProtection="1">
      <alignment horizontal="left" vertical="top" wrapText="1"/>
      <protection hidden="1"/>
    </xf>
    <xf numFmtId="0" fontId="0" fillId="4" borderId="0" xfId="0" applyFont="1" applyFill="1" applyAlignment="1" applyProtection="1">
      <alignment horizontal="left" vertical="top" wrapText="1"/>
      <protection hidden="1"/>
    </xf>
    <xf numFmtId="0" fontId="23" fillId="4" borderId="0" xfId="0" applyFont="1" applyFill="1" applyAlignment="1" applyProtection="1">
      <alignment horizontal="left" vertical="top" wrapText="1"/>
      <protection hidden="1"/>
    </xf>
  </cellXfs>
  <cellStyles count="2">
    <cellStyle name="Hyperkobling" xfId="1" builtinId="8"/>
    <cellStyle name="Normal" xfId="0" builtinId="0"/>
  </cellStyles>
  <dxfs count="191">
    <dxf>
      <border>
        <left style="thin">
          <color theme="0" tint="-0.499984740745262"/>
        </left>
        <right/>
        <top style="thin">
          <color theme="0" tint="-0.499984740745262"/>
        </top>
        <bottom/>
        <vertical/>
        <horizontal/>
      </border>
    </dxf>
    <dxf>
      <border>
        <left/>
        <right/>
        <top/>
        <bottom style="thin">
          <color theme="0" tint="-0.499984740745262"/>
        </bottom>
        <vertical/>
        <horizontal/>
      </border>
    </dxf>
    <dxf>
      <border>
        <left style="thin">
          <color theme="0"/>
        </left>
        <vertical/>
        <horizontal/>
      </border>
    </dxf>
    <dxf>
      <border>
        <left style="thin">
          <color theme="0"/>
        </left>
        <right/>
        <vertical/>
        <horizontal/>
      </border>
    </dxf>
    <dxf>
      <border>
        <left/>
        <right style="thin">
          <color theme="0" tint="-0.499984740745262"/>
        </right>
        <top/>
        <bottom/>
        <vertical/>
        <horizontal/>
      </border>
    </dxf>
    <dxf>
      <fill>
        <patternFill>
          <bgColor rgb="FFE9F5DB"/>
        </patternFill>
      </fill>
    </dxf>
    <dxf>
      <border>
        <left style="thin">
          <color theme="0" tint="-0.499984740745262"/>
        </left>
        <right/>
        <top/>
        <bottom style="thin">
          <color theme="0"/>
        </bottom>
        <vertical/>
        <horizontal/>
      </border>
    </dxf>
    <dxf>
      <border>
        <top style="thin">
          <color theme="0"/>
        </top>
        <vertical/>
        <horizontal/>
      </border>
    </dxf>
    <dxf>
      <font>
        <u/>
        <color rgb="FF1108BE"/>
      </font>
    </dxf>
    <dxf>
      <fill>
        <patternFill>
          <bgColor rgb="FFE9F5DB"/>
        </patternFill>
      </fill>
      <border>
        <right/>
      </border>
    </dxf>
    <dxf>
      <border>
        <left/>
        <right/>
        <top/>
        <bottom style="thin">
          <color theme="0"/>
        </bottom>
      </border>
    </dxf>
    <dxf>
      <border>
        <left style="thin">
          <color theme="0" tint="-0.499984740745262"/>
        </left>
        <right/>
        <top/>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theme="0"/>
        </patternFill>
      </fill>
    </dxf>
    <dxf>
      <border>
        <left style="thin">
          <color theme="0"/>
        </left>
        <right/>
        <top/>
        <bottom/>
        <vertical/>
        <horizontal/>
      </border>
    </dxf>
    <dxf>
      <fill>
        <patternFill>
          <bgColor rgb="FFE9F5DB"/>
        </patternFill>
      </fill>
      <border>
        <left/>
        <right/>
        <top/>
        <bottom/>
        <vertical/>
        <horizontal/>
      </border>
    </dxf>
    <dxf>
      <fill>
        <patternFill>
          <bgColor rgb="FFE9F5DB"/>
        </patternFill>
      </fill>
    </dxf>
    <dxf>
      <fill>
        <patternFill>
          <bgColor rgb="FFE9F5DB"/>
        </patternFill>
      </fill>
      <border>
        <left/>
        <right style="thin">
          <color theme="0"/>
        </right>
        <top style="thin">
          <color theme="0" tint="-0.499984740745262"/>
        </top>
        <bottom style="thin">
          <color theme="0"/>
        </bottom>
        <vertical/>
        <horizontal/>
      </border>
    </dxf>
    <dxf>
      <fill>
        <patternFill>
          <bgColor theme="0"/>
        </patternFill>
      </fill>
    </dxf>
    <dxf>
      <fill>
        <patternFill>
          <bgColor theme="0"/>
        </patternFill>
      </fill>
    </dxf>
    <dxf>
      <fill>
        <patternFill>
          <bgColor theme="0"/>
        </patternFill>
      </fill>
      <border>
        <left style="thin">
          <color theme="0" tint="-0.499984740745262"/>
        </left>
        <right style="thin">
          <color theme="0"/>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24994659260841701"/>
        </left>
        <right style="thin">
          <color theme="0"/>
        </right>
        <top style="thin">
          <color theme="0" tint="-0.499984740745262"/>
        </top>
        <bottom style="thin">
          <color theme="0"/>
        </bottom>
        <vertical/>
        <horizontal/>
      </border>
    </dxf>
    <dxf>
      <font>
        <color rgb="FFD0EBB3"/>
      </font>
      <fill>
        <patternFill>
          <bgColor rgb="FFD0EBB3"/>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right style="thin">
          <color theme="0" tint="-0.499984740745262"/>
        </right>
        <top style="thin">
          <color theme="0" tint="-0.499984740745262"/>
        </top>
        <bottom style="thin">
          <color theme="0" tint="-0.499984740745262"/>
        </bottom>
        <vertical/>
        <horizontal/>
      </border>
    </dxf>
    <dxf>
      <fill>
        <patternFill>
          <bgColor theme="0"/>
        </patternFill>
      </fill>
    </dxf>
    <dxf>
      <border>
        <left style="thin">
          <color theme="0" tint="-0.499984740745262"/>
        </left>
        <right style="thin">
          <color theme="0" tint="-0.14996795556505021"/>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right style="thin">
          <color theme="0" tint="-0.499984740745262"/>
        </right>
        <top style="thin">
          <color theme="0" tint="-0.499984740745262"/>
        </top>
        <bottom style="thin">
          <color theme="0" tint="-0.499984740745262"/>
        </bottom>
        <vertical/>
        <horizontal/>
      </border>
    </dxf>
    <dxf>
      <fill>
        <patternFill>
          <bgColor rgb="FFE9F5DB"/>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E9F5DB"/>
        </patternFill>
      </fill>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E9F5DB"/>
        </patternFill>
      </fill>
    </dxf>
    <dxf>
      <border>
        <bottom style="thin">
          <color theme="0" tint="-0.499984740745262"/>
        </bottom>
        <vertical/>
        <horizontal/>
      </border>
    </dxf>
    <dxf>
      <border>
        <right style="thin">
          <color theme="0" tint="-0.34998626667073579"/>
        </right>
        <vertical/>
        <horizontal/>
      </border>
    </dxf>
    <dxf>
      <border>
        <bottom style="thin">
          <color theme="0"/>
        </bottom>
        <vertical/>
        <horizontal/>
      </border>
    </dxf>
    <dxf>
      <border>
        <left style="thin">
          <color theme="0"/>
        </left>
        <vertical/>
        <horizontal/>
      </border>
    </dxf>
    <dxf>
      <border>
        <left style="thin">
          <color theme="0"/>
        </left>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ont>
        <b/>
        <i/>
        <color rgb="FFC00000"/>
      </font>
    </dxf>
    <dxf>
      <border>
        <right style="thin">
          <color theme="0" tint="-0.499984740745262"/>
        </right>
        <vertical/>
        <horizontal/>
      </border>
    </dxf>
    <dxf>
      <fill>
        <patternFill>
          <bgColor rgb="FFE9F5DB"/>
        </patternFill>
      </fill>
      <border>
        <left/>
        <right/>
        <top/>
        <bottom/>
        <vertical/>
        <horizontal/>
      </border>
    </dxf>
    <dxf>
      <fill>
        <patternFill>
          <bgColor rgb="FFE9F5DB"/>
        </patternFill>
      </fill>
      <border>
        <left style="thin">
          <color theme="0" tint="-0.499984740745262"/>
        </left>
        <right/>
        <top style="thin">
          <color theme="0" tint="-0.499984740745262"/>
        </top>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border>
    </dxf>
    <dxf>
      <border>
        <right style="thin">
          <color theme="0" tint="-0.499984740745262"/>
        </right>
        <vertical/>
        <horizontal/>
      </border>
    </dxf>
    <dxf>
      <border>
        <bottom style="thin">
          <color theme="0" tint="-0.499984740745262"/>
        </bottom>
        <vertical/>
        <horizontal/>
      </border>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E9F5DB"/>
        </patternFill>
      </fill>
    </dxf>
    <dxf>
      <fill>
        <patternFill>
          <bgColor rgb="FFE9F5DB"/>
        </patternFill>
      </fill>
      <border>
        <left style="thin">
          <color theme="0" tint="-0.499984740745262"/>
        </left>
        <right style="thin">
          <color theme="0"/>
        </right>
        <top style="thin">
          <color theme="0" tint="-0.499984740745262"/>
        </top>
        <bottom style="thin">
          <color theme="0"/>
        </bottom>
      </border>
    </dxf>
    <dxf>
      <border>
        <top style="thin">
          <color theme="0"/>
        </top>
        <vertical/>
        <horizontal/>
      </border>
    </dxf>
    <dxf>
      <fill>
        <patternFill>
          <bgColor rgb="FFE9F5DB"/>
        </patternFill>
      </fill>
      <border>
        <left/>
        <right/>
        <top/>
        <bottom/>
        <vertical/>
        <horizontal/>
      </border>
    </dxf>
    <dxf>
      <border>
        <top style="thin">
          <color theme="0"/>
        </top>
        <vertical/>
        <horizontal/>
      </border>
    </dxf>
    <dxf>
      <fill>
        <patternFill>
          <bgColor rgb="FFE9F5DB"/>
        </patternFill>
      </fill>
      <border>
        <left/>
        <right/>
        <top/>
        <bottom/>
        <vertical/>
        <horizontal/>
      </border>
    </dxf>
    <dxf>
      <font>
        <u/>
        <color rgb="FF1108BE"/>
      </font>
    </dxf>
    <dxf>
      <font>
        <u/>
        <color rgb="FF1108BE"/>
      </font>
    </dxf>
    <dxf>
      <font>
        <u/>
        <color rgb="FF1108BE"/>
      </font>
    </dxf>
    <dxf>
      <font>
        <u/>
        <color rgb="FF1108BE"/>
      </font>
    </dxf>
    <dxf>
      <fill>
        <patternFill>
          <bgColor rgb="FFE9F5DB"/>
        </patternFill>
      </fill>
      <border>
        <left style="thin">
          <color theme="0" tint="-0.499984740745262"/>
        </left>
        <right style="thin">
          <color theme="0"/>
        </right>
        <top/>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theme="0"/>
        </patternFill>
      </fill>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fill>
        <patternFill>
          <bgColor theme="0"/>
        </patternFill>
      </fill>
    </dxf>
    <dxf>
      <fill>
        <patternFill>
          <bgColor rgb="FFE9F5DB"/>
        </patternFill>
      </fill>
      <border>
        <left style="thin">
          <color theme="0" tint="-0.499984740745262"/>
        </left>
        <right style="thin">
          <color theme="0"/>
        </right>
        <top style="thin">
          <color theme="0" tint="-0.499984740745262"/>
        </top>
        <bottom style="thin">
          <color theme="0"/>
        </bottom>
        <vertical/>
        <horizontal/>
      </border>
    </dxf>
    <dxf>
      <fill>
        <patternFill>
          <bgColor rgb="FFE9F5DB"/>
        </patternFill>
      </fill>
      <border>
        <left style="thin">
          <color theme="0" tint="-0.499984740745262"/>
        </left>
        <right style="thin">
          <color theme="0" tint="-0.24994659260841701"/>
        </right>
        <top style="thin">
          <color theme="0" tint="-0.499984740745262"/>
        </top>
        <bottom style="thin">
          <color theme="0"/>
        </bottom>
        <vertical/>
        <horizontal/>
      </border>
    </dxf>
    <dxf>
      <border>
        <left style="thin">
          <color theme="0"/>
        </left>
        <vertical/>
        <horizontal/>
      </border>
    </dxf>
    <dxf>
      <border>
        <bottom style="thin">
          <color theme="0" tint="-0.499984740745262"/>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right/>
        <top/>
        <bottom style="thin">
          <color auto="1"/>
        </bottom>
        <vertical/>
        <horizontal/>
      </border>
    </dxf>
    <dxf>
      <border>
        <left style="thin">
          <color auto="1"/>
        </left>
        <right style="thin">
          <color auto="1"/>
        </right>
        <top style="thin">
          <color auto="1"/>
        </top>
        <bottom style="thin">
          <color auto="1"/>
        </bottom>
        <vertical/>
        <horizontal/>
      </border>
    </dxf>
    <dxf>
      <border>
        <left/>
        <right/>
        <top/>
        <bottom style="thin">
          <color auto="1"/>
        </bottom>
        <vertical/>
        <horizontal/>
      </border>
    </dxf>
    <dxf>
      <font>
        <b/>
        <i val="0"/>
      </font>
      <border>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bottom style="thin">
          <color auto="1"/>
        </bottom>
        <vertical/>
        <horizontal/>
      </border>
    </dxf>
    <dxf>
      <border>
        <bottom/>
        <vertical/>
        <horizontal/>
      </border>
    </dxf>
    <dxf>
      <border>
        <bottom/>
        <vertical/>
        <horizontal/>
      </border>
    </dxf>
    <dxf>
      <border>
        <bottom/>
        <vertical/>
        <horizontal/>
      </border>
    </dxf>
    <dxf>
      <border>
        <left/>
        <right/>
        <top style="thin">
          <color auto="1"/>
        </top>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color rgb="FFC00000"/>
      </font>
    </dxf>
    <dxf>
      <border>
        <left/>
        <right/>
        <top/>
        <bottom/>
        <vertical/>
        <horizontal/>
      </border>
    </dxf>
  </dxfs>
  <tableStyles count="0" defaultTableStyle="TableStyleMedium2" defaultPivotStyle="PivotStyleLight16"/>
  <colors>
    <mruColors>
      <color rgb="FF1108BE"/>
      <color rgb="FFE9F5DB"/>
      <color rgb="FFD0EBB3"/>
      <color rgb="FFD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O$46" fmlaRange="$P$47:$P$49" sel="1" val="0"/>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GBox"/>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Q$82" lockText="1"/>
</file>

<file path=xl/ctrlProps/ctrlProp14.xml><?xml version="1.0" encoding="utf-8"?>
<formControlPr xmlns="http://schemas.microsoft.com/office/spreadsheetml/2009/9/main" objectType="Radio" checked="Checked" lockText="1"/>
</file>

<file path=xl/ctrlProps/ctrlProp15.xml><?xml version="1.0" encoding="utf-8"?>
<formControlPr xmlns="http://schemas.microsoft.com/office/spreadsheetml/2009/9/main" objectType="Radio" checked="Checked" firstButton="1" fmlaLink="$Q$86"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firstButton="1" fmlaLink="$Q$92" lockText="1"/>
</file>

<file path=xl/ctrlProps/ctrlProp18.xml><?xml version="1.0" encoding="utf-8"?>
<formControlPr xmlns="http://schemas.microsoft.com/office/spreadsheetml/2009/9/main" objectType="Radio" checked="Checked" lockText="1"/>
</file>

<file path=xl/ctrlProps/ctrlProp19.xml><?xml version="1.0" encoding="utf-8"?>
<formControlPr xmlns="http://schemas.microsoft.com/office/spreadsheetml/2009/9/main" objectType="Radio" firstButton="1" fmlaLink="$Q$98" lockText="1"/>
</file>

<file path=xl/ctrlProps/ctrlProp2.xml><?xml version="1.0" encoding="utf-8"?>
<formControlPr xmlns="http://schemas.microsoft.com/office/spreadsheetml/2009/9/main" objectType="Drop" dropStyle="combo" dx="16" fmlaLink="$O$50" fmlaRange="$P$51:$P$53" sel="1" val="0"/>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firstButton="1" fmlaLink="$Q$102" lockText="1"/>
</file>

<file path=xl/ctrlProps/ctrlProp22.xml><?xml version="1.0" encoding="utf-8"?>
<formControlPr xmlns="http://schemas.microsoft.com/office/spreadsheetml/2009/9/main" objectType="Radio" checked="Checked" lockText="1"/>
</file>

<file path=xl/ctrlProps/ctrlProp23.xml><?xml version="1.0" encoding="utf-8"?>
<formControlPr xmlns="http://schemas.microsoft.com/office/spreadsheetml/2009/9/main" objectType="Radio" firstButton="1" fmlaLink="$Q$107" lockText="1"/>
</file>

<file path=xl/ctrlProps/ctrlProp24.xml><?xml version="1.0" encoding="utf-8"?>
<formControlPr xmlns="http://schemas.microsoft.com/office/spreadsheetml/2009/9/main" objectType="Radio" checked="Checked" lockText="1"/>
</file>

<file path=xl/ctrlProps/ctrlProp25.xml><?xml version="1.0" encoding="utf-8"?>
<formControlPr xmlns="http://schemas.microsoft.com/office/spreadsheetml/2009/9/main" objectType="Radio" firstButton="1" fmlaLink="$Q$112" lockText="1"/>
</file>

<file path=xl/ctrlProps/ctrlProp26.xml><?xml version="1.0" encoding="utf-8"?>
<formControlPr xmlns="http://schemas.microsoft.com/office/spreadsheetml/2009/9/main" objectType="Radio" checked="Checked" lockText="1"/>
</file>

<file path=xl/ctrlProps/ctrlProp27.xml><?xml version="1.0" encoding="utf-8"?>
<formControlPr xmlns="http://schemas.microsoft.com/office/spreadsheetml/2009/9/main" objectType="Radio" firstButton="1" fmlaLink="$Q$117" lockText="1"/>
</file>

<file path=xl/ctrlProps/ctrlProp28.xml><?xml version="1.0" encoding="utf-8"?>
<formControlPr xmlns="http://schemas.microsoft.com/office/spreadsheetml/2009/9/main" objectType="Radio" checked="Checked" lockText="1"/>
</file>

<file path=xl/ctrlProps/ctrlProp29.xml><?xml version="1.0" encoding="utf-8"?>
<formControlPr xmlns="http://schemas.microsoft.com/office/spreadsheetml/2009/9/main" objectType="Radio" checked="Checked" firstButton="1" fmlaLink="$Q$123" lockText="1"/>
</file>

<file path=xl/ctrlProps/ctrlProp3.xml><?xml version="1.0" encoding="utf-8"?>
<formControlPr xmlns="http://schemas.microsoft.com/office/spreadsheetml/2009/9/main" objectType="Drop" dropStyle="combo" dx="16" fmlaLink="$O$58" fmlaRange="$P$59:$P$69" sel="1" val="0"/>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file>

<file path=xl/ctrlProps/ctrlProp32.xml><?xml version="1.0" encoding="utf-8"?>
<formControlPr xmlns="http://schemas.microsoft.com/office/spreadsheetml/2009/9/main" objectType="Radio" checked="Checked" firstButton="1" fmlaLink="$Q$128"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GBox"/>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GBox"/>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byggtjeneste.no/WPpages/Forsiden.aspx"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30480</xdr:rowOff>
        </xdr:from>
        <xdr:to>
          <xdr:col>6</xdr:col>
          <xdr:colOff>0</xdr:colOff>
          <xdr:row>17</xdr:row>
          <xdr:rowOff>99060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xdr:row>
          <xdr:rowOff>22860</xdr:rowOff>
        </xdr:from>
        <xdr:to>
          <xdr:col>6</xdr:col>
          <xdr:colOff>0</xdr:colOff>
          <xdr:row>21</xdr:row>
          <xdr:rowOff>76200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22860</xdr:rowOff>
        </xdr:from>
        <xdr:to>
          <xdr:col>6</xdr:col>
          <xdr:colOff>0</xdr:colOff>
          <xdr:row>25</xdr:row>
          <xdr:rowOff>76200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78</xdr:row>
          <xdr:rowOff>190500</xdr:rowOff>
        </xdr:from>
        <xdr:to>
          <xdr:col>10</xdr:col>
          <xdr:colOff>769620</xdr:colOff>
          <xdr:row>82</xdr:row>
          <xdr:rowOff>22860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0</xdr:rowOff>
        </xdr:from>
        <xdr:to>
          <xdr:col>10</xdr:col>
          <xdr:colOff>769620</xdr:colOff>
          <xdr:row>88</xdr:row>
          <xdr:rowOff>22860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89</xdr:row>
          <xdr:rowOff>0</xdr:rowOff>
        </xdr:from>
        <xdr:to>
          <xdr:col>10</xdr:col>
          <xdr:colOff>769620</xdr:colOff>
          <xdr:row>92</xdr:row>
          <xdr:rowOff>22860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93</xdr:row>
          <xdr:rowOff>0</xdr:rowOff>
        </xdr:from>
        <xdr:to>
          <xdr:col>10</xdr:col>
          <xdr:colOff>769620</xdr:colOff>
          <xdr:row>99</xdr:row>
          <xdr:rowOff>7620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99</xdr:row>
          <xdr:rowOff>190500</xdr:rowOff>
        </xdr:from>
        <xdr:to>
          <xdr:col>10</xdr:col>
          <xdr:colOff>784860</xdr:colOff>
          <xdr:row>104</xdr:row>
          <xdr:rowOff>7620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105</xdr:row>
          <xdr:rowOff>0</xdr:rowOff>
        </xdr:from>
        <xdr:to>
          <xdr:col>10</xdr:col>
          <xdr:colOff>784860</xdr:colOff>
          <xdr:row>109</xdr:row>
          <xdr:rowOff>7620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109</xdr:row>
          <xdr:rowOff>190500</xdr:rowOff>
        </xdr:from>
        <xdr:to>
          <xdr:col>10</xdr:col>
          <xdr:colOff>784860</xdr:colOff>
          <xdr:row>114</xdr:row>
          <xdr:rowOff>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115</xdr:row>
          <xdr:rowOff>0</xdr:rowOff>
        </xdr:from>
        <xdr:to>
          <xdr:col>10</xdr:col>
          <xdr:colOff>769620</xdr:colOff>
          <xdr:row>120</xdr:row>
          <xdr:rowOff>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120</xdr:row>
          <xdr:rowOff>190500</xdr:rowOff>
        </xdr:from>
        <xdr:to>
          <xdr:col>10</xdr:col>
          <xdr:colOff>784860</xdr:colOff>
          <xdr:row>125</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79</xdr:row>
          <xdr:rowOff>137160</xdr:rowOff>
        </xdr:from>
        <xdr:to>
          <xdr:col>9</xdr:col>
          <xdr:colOff>716280</xdr:colOff>
          <xdr:row>81</xdr:row>
          <xdr:rowOff>68580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79</xdr:row>
          <xdr:rowOff>137160</xdr:rowOff>
        </xdr:from>
        <xdr:to>
          <xdr:col>10</xdr:col>
          <xdr:colOff>693420</xdr:colOff>
          <xdr:row>81</xdr:row>
          <xdr:rowOff>68580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84</xdr:row>
          <xdr:rowOff>144780</xdr:rowOff>
        </xdr:from>
        <xdr:to>
          <xdr:col>9</xdr:col>
          <xdr:colOff>716280</xdr:colOff>
          <xdr:row>86</xdr:row>
          <xdr:rowOff>76200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84</xdr:row>
          <xdr:rowOff>144780</xdr:rowOff>
        </xdr:from>
        <xdr:to>
          <xdr:col>10</xdr:col>
          <xdr:colOff>693420</xdr:colOff>
          <xdr:row>86</xdr:row>
          <xdr:rowOff>76200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89</xdr:row>
          <xdr:rowOff>144780</xdr:rowOff>
        </xdr:from>
        <xdr:to>
          <xdr:col>9</xdr:col>
          <xdr:colOff>716280</xdr:colOff>
          <xdr:row>91</xdr:row>
          <xdr:rowOff>76200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89</xdr:row>
          <xdr:rowOff>144780</xdr:rowOff>
        </xdr:from>
        <xdr:to>
          <xdr:col>10</xdr:col>
          <xdr:colOff>693420</xdr:colOff>
          <xdr:row>91</xdr:row>
          <xdr:rowOff>76200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95</xdr:row>
          <xdr:rowOff>38100</xdr:rowOff>
        </xdr:from>
        <xdr:to>
          <xdr:col>9</xdr:col>
          <xdr:colOff>716280</xdr:colOff>
          <xdr:row>96</xdr:row>
          <xdr:rowOff>160020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95</xdr:row>
          <xdr:rowOff>38100</xdr:rowOff>
        </xdr:from>
        <xdr:to>
          <xdr:col>10</xdr:col>
          <xdr:colOff>693420</xdr:colOff>
          <xdr:row>96</xdr:row>
          <xdr:rowOff>160020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101</xdr:row>
          <xdr:rowOff>38100</xdr:rowOff>
        </xdr:from>
        <xdr:to>
          <xdr:col>9</xdr:col>
          <xdr:colOff>716280</xdr:colOff>
          <xdr:row>102</xdr:row>
          <xdr:rowOff>160020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101</xdr:row>
          <xdr:rowOff>38100</xdr:rowOff>
        </xdr:from>
        <xdr:to>
          <xdr:col>10</xdr:col>
          <xdr:colOff>693420</xdr:colOff>
          <xdr:row>102</xdr:row>
          <xdr:rowOff>160020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106</xdr:row>
          <xdr:rowOff>38100</xdr:rowOff>
        </xdr:from>
        <xdr:to>
          <xdr:col>9</xdr:col>
          <xdr:colOff>716280</xdr:colOff>
          <xdr:row>107</xdr:row>
          <xdr:rowOff>160020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670560</xdr:colOff>
          <xdr:row>106</xdr:row>
          <xdr:rowOff>38100</xdr:rowOff>
        </xdr:from>
        <xdr:to>
          <xdr:col>10</xdr:col>
          <xdr:colOff>289560</xdr:colOff>
          <xdr:row>107</xdr:row>
          <xdr:rowOff>160020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111</xdr:row>
          <xdr:rowOff>38100</xdr:rowOff>
        </xdr:from>
        <xdr:to>
          <xdr:col>9</xdr:col>
          <xdr:colOff>716280</xdr:colOff>
          <xdr:row>112</xdr:row>
          <xdr:rowOff>160020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111</xdr:row>
          <xdr:rowOff>38100</xdr:rowOff>
        </xdr:from>
        <xdr:to>
          <xdr:col>10</xdr:col>
          <xdr:colOff>693420</xdr:colOff>
          <xdr:row>112</xdr:row>
          <xdr:rowOff>160020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116</xdr:row>
          <xdr:rowOff>106680</xdr:rowOff>
        </xdr:from>
        <xdr:to>
          <xdr:col>9</xdr:col>
          <xdr:colOff>716280</xdr:colOff>
          <xdr:row>118</xdr:row>
          <xdr:rowOff>38100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116</xdr:row>
          <xdr:rowOff>106680</xdr:rowOff>
        </xdr:from>
        <xdr:to>
          <xdr:col>10</xdr:col>
          <xdr:colOff>693420</xdr:colOff>
          <xdr:row>118</xdr:row>
          <xdr:rowOff>38100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122</xdr:row>
          <xdr:rowOff>38100</xdr:rowOff>
        </xdr:from>
        <xdr:to>
          <xdr:col>9</xdr:col>
          <xdr:colOff>716280</xdr:colOff>
          <xdr:row>123</xdr:row>
          <xdr:rowOff>160020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122</xdr:row>
          <xdr:rowOff>38100</xdr:rowOff>
        </xdr:from>
        <xdr:to>
          <xdr:col>10</xdr:col>
          <xdr:colOff>693420</xdr:colOff>
          <xdr:row>123</xdr:row>
          <xdr:rowOff>160020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125</xdr:row>
          <xdr:rowOff>190500</xdr:rowOff>
        </xdr:from>
        <xdr:to>
          <xdr:col>10</xdr:col>
          <xdr:colOff>784860</xdr:colOff>
          <xdr:row>129</xdr:row>
          <xdr:rowOff>0</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126</xdr:row>
          <xdr:rowOff>121920</xdr:rowOff>
        </xdr:from>
        <xdr:to>
          <xdr:col>9</xdr:col>
          <xdr:colOff>716280</xdr:colOff>
          <xdr:row>128</xdr:row>
          <xdr:rowOff>60960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126</xdr:row>
          <xdr:rowOff>121920</xdr:rowOff>
        </xdr:from>
        <xdr:to>
          <xdr:col>10</xdr:col>
          <xdr:colOff>693420</xdr:colOff>
          <xdr:row>128</xdr:row>
          <xdr:rowOff>60960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NEI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106</xdr:row>
          <xdr:rowOff>38100</xdr:rowOff>
        </xdr:from>
        <xdr:to>
          <xdr:col>10</xdr:col>
          <xdr:colOff>708660</xdr:colOff>
          <xdr:row>107</xdr:row>
          <xdr:rowOff>160020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b-NO" sz="800" b="0" i="0" u="none" strike="noStrike" baseline="0">
                  <a:solidFill>
                    <a:srgbClr val="000000"/>
                  </a:solidFill>
                  <a:latin typeface="Segoe UI"/>
                  <a:cs typeface="Segoe UI"/>
                </a:rPr>
                <a:t>IR</a:t>
              </a:r>
            </a:p>
          </xdr:txBody>
        </xdr:sp>
        <xdr:clientData/>
      </xdr:twoCellAnchor>
    </mc:Choice>
    <mc:Fallback/>
  </mc:AlternateContent>
  <xdr:twoCellAnchor editAs="oneCell">
    <xdr:from>
      <xdr:col>11</xdr:col>
      <xdr:colOff>781016</xdr:colOff>
      <xdr:row>0</xdr:row>
      <xdr:rowOff>111504</xdr:rowOff>
    </xdr:from>
    <xdr:to>
      <xdr:col>14</xdr:col>
      <xdr:colOff>151688</xdr:colOff>
      <xdr:row>1</xdr:row>
      <xdr:rowOff>125186</xdr:rowOff>
    </xdr:to>
    <xdr:pic>
      <xdr:nvPicPr>
        <xdr:cNvPr id="8" name="Bilde 7">
          <a:hlinkClick xmlns:r="http://schemas.openxmlformats.org/officeDocument/2006/relationships" r:id="rId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86038" y="111504"/>
          <a:ext cx="1267389" cy="20418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DT276"/>
  <sheetViews>
    <sheetView showRowColHeaders="0" tabSelected="1" showWhiteSpace="0" topLeftCell="B1" zoomScale="115" zoomScaleNormal="115" workbookViewId="0">
      <selection activeCell="C8" sqref="C8:F8"/>
    </sheetView>
  </sheetViews>
  <sheetFormatPr baseColWidth="10" defaultRowHeight="14.4"/>
  <cols>
    <col min="1" max="1" width="5" style="1" hidden="1" customWidth="1"/>
    <col min="2" max="2" width="3.6640625" customWidth="1"/>
    <col min="3" max="3" width="8.5546875" customWidth="1"/>
    <col min="4" max="4" width="17.5546875" customWidth="1"/>
    <col min="5" max="5" width="10.6640625" customWidth="1"/>
    <col min="6" max="6" width="14.5546875" customWidth="1"/>
    <col min="7" max="7" width="26" customWidth="1"/>
    <col min="8" max="8" width="3.5546875" customWidth="1"/>
    <col min="9" max="9" width="18.44140625" customWidth="1"/>
    <col min="10" max="10" width="12.109375" customWidth="1"/>
    <col min="11" max="11" width="15.44140625" customWidth="1"/>
    <col min="12" max="12" width="15.6640625" customWidth="1"/>
    <col min="13" max="13" width="12.6640625" customWidth="1"/>
    <col min="14" max="14" width="11.44140625" hidden="1" customWidth="1"/>
    <col min="15" max="15" width="14.6640625" customWidth="1"/>
    <col min="17" max="23" width="11.44140625" style="3" hidden="1" customWidth="1"/>
    <col min="24" max="24" width="4.88671875" style="3" hidden="1" customWidth="1"/>
    <col min="25" max="25" width="11.44140625" style="3" hidden="1" customWidth="1"/>
    <col min="26" max="26" width="13.33203125" style="3" hidden="1" customWidth="1"/>
    <col min="27" max="27" width="16.44140625" style="3" hidden="1" customWidth="1"/>
    <col min="28" max="29" width="7.6640625" style="3" hidden="1" customWidth="1"/>
    <col min="30" max="30" width="9.44140625" style="3" hidden="1" customWidth="1"/>
    <col min="31" max="31" width="9.109375" style="3" hidden="1" customWidth="1"/>
    <col min="32" max="32" width="2.88671875" style="3" hidden="1" customWidth="1"/>
    <col min="33" max="33" width="13.33203125" style="3" hidden="1" customWidth="1"/>
    <col min="34" max="34" width="4.88671875" style="3" hidden="1" customWidth="1"/>
    <col min="35" max="59" width="11.44140625" style="3" hidden="1" customWidth="1"/>
    <col min="63" max="63" width="11.44140625" customWidth="1"/>
    <col min="66" max="66" width="12.5546875" customWidth="1"/>
    <col min="68" max="68" width="10" customWidth="1"/>
  </cols>
  <sheetData>
    <row r="1" spans="1:124" s="15" customFormat="1">
      <c r="A1" s="14"/>
      <c r="B1" s="14"/>
      <c r="C1" s="14"/>
      <c r="D1" s="14"/>
      <c r="E1" s="14"/>
      <c r="F1" s="14"/>
      <c r="G1" s="14"/>
      <c r="H1" s="14"/>
      <c r="I1" s="14"/>
      <c r="J1" s="14"/>
      <c r="K1" s="14"/>
      <c r="L1" s="108"/>
      <c r="M1" s="14"/>
      <c r="N1" s="14"/>
      <c r="O1" s="175" t="s">
        <v>101</v>
      </c>
      <c r="P1" s="14"/>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row>
    <row r="2" spans="1:124" s="15" customFormat="1" ht="18">
      <c r="A2" s="14"/>
      <c r="B2" s="16"/>
      <c r="C2" s="17" t="str">
        <f>IF(O46=2,"Egendeklarasjon BREEAM-NOR - Sjekkliste A 20",IF(O46=3,"Egendeklarasjon BREEAM-NOR HEA 9 - Forurensning i innemiljø","Egendeklarasjon BREEAM-NOR"))</f>
        <v>Egendeklarasjon BREEAM-NOR</v>
      </c>
      <c r="D2" s="18"/>
      <c r="E2" s="18"/>
      <c r="F2" s="18"/>
      <c r="G2" s="18"/>
      <c r="H2" s="18"/>
      <c r="I2" s="18"/>
      <c r="J2" s="14"/>
      <c r="K2" s="14"/>
      <c r="L2" s="108"/>
      <c r="M2" s="14"/>
      <c r="N2" s="14"/>
      <c r="O2" s="175"/>
      <c r="P2" s="14"/>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row>
    <row r="3" spans="1:124" s="15" customFormat="1" ht="10.5" customHeight="1">
      <c r="A3" s="14"/>
      <c r="B3" s="14"/>
      <c r="C3" s="14"/>
      <c r="D3" s="14"/>
      <c r="E3" s="14"/>
      <c r="F3" s="14"/>
      <c r="G3" s="14"/>
      <c r="H3" s="14"/>
      <c r="I3" s="14"/>
      <c r="J3" s="14"/>
      <c r="K3" s="14"/>
      <c r="L3" s="14"/>
      <c r="M3" s="14"/>
      <c r="N3" s="14"/>
      <c r="O3" s="14"/>
      <c r="P3" s="14"/>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row>
    <row r="4" spans="1:124" ht="15" customHeight="1">
      <c r="A4" s="14"/>
      <c r="B4" s="14"/>
      <c r="C4" s="137" t="str">
        <f>IF(O46=1,"",IF(O46=3,"Egendeklarasjon på at produkter tilfredsstiller krav i BREEAM-NOR versjon 1.0 (14.03.12)",IF(P50=3,"Egendeklarasjon på at produkter tilfredsstiller krav i BREEAM-NOR",IF(P50=4,"Egendeklarasjon på at produkter tilfredsstiller krav i BREEAM-NOR versjon 1.0 (14.03.2012) for prosjekter registrert fra 14.03.2012 til 30.03.2013",IF(P50=5,"Egendeklarasjon på at produkter tilfredsstiller krav i BREEAM-NOR versjon 1.0 (14.03.2012) for prosjekter registrert etter 01.04.2013","")))))</f>
        <v/>
      </c>
      <c r="D4" s="138"/>
      <c r="E4" s="138"/>
      <c r="F4" s="138"/>
      <c r="G4" s="138"/>
      <c r="H4" s="138"/>
      <c r="I4" s="139"/>
      <c r="J4" s="14"/>
      <c r="K4" s="14"/>
      <c r="L4" s="14"/>
      <c r="M4" s="14"/>
      <c r="N4" s="14"/>
      <c r="O4" s="14"/>
      <c r="P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row>
    <row r="5" spans="1:124" ht="15" customHeight="1">
      <c r="A5" s="14"/>
      <c r="B5" s="14"/>
      <c r="C5" s="140"/>
      <c r="D5" s="141"/>
      <c r="E5" s="141"/>
      <c r="F5" s="141"/>
      <c r="G5" s="141"/>
      <c r="H5" s="141"/>
      <c r="I5" s="142"/>
      <c r="J5" s="14"/>
      <c r="K5" s="14"/>
      <c r="L5" s="14"/>
      <c r="M5" s="14"/>
      <c r="N5" s="14"/>
      <c r="O5" s="14"/>
      <c r="P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row>
    <row r="6" spans="1:124" ht="9.9" customHeight="1">
      <c r="A6" s="14"/>
      <c r="B6" s="14"/>
      <c r="C6" s="14"/>
      <c r="D6" s="14"/>
      <c r="E6" s="14"/>
      <c r="F6" s="14"/>
      <c r="G6" s="14"/>
      <c r="H6" s="14"/>
      <c r="I6" s="14"/>
      <c r="J6" s="14"/>
      <c r="K6" s="14"/>
      <c r="L6" s="14"/>
      <c r="M6" s="14"/>
      <c r="N6" s="14"/>
      <c r="O6" s="14"/>
      <c r="P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row>
    <row r="7" spans="1:124">
      <c r="A7" s="14"/>
      <c r="B7" s="14"/>
      <c r="C7" s="19" t="s">
        <v>28</v>
      </c>
      <c r="D7" s="19"/>
      <c r="E7" s="14"/>
      <c r="F7" s="14"/>
      <c r="G7" s="14"/>
      <c r="H7" s="14"/>
      <c r="I7" s="14"/>
      <c r="J7" s="14"/>
      <c r="K7" s="14"/>
      <c r="L7" s="14"/>
      <c r="M7" s="14"/>
      <c r="N7" s="14"/>
      <c r="O7" s="14"/>
      <c r="P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row>
    <row r="8" spans="1:124" ht="20.25" customHeight="1">
      <c r="A8" s="14"/>
      <c r="B8" s="14"/>
      <c r="C8" s="143"/>
      <c r="D8" s="144"/>
      <c r="E8" s="144"/>
      <c r="F8" s="145"/>
      <c r="G8" s="14"/>
      <c r="H8" s="14"/>
      <c r="I8" s="14"/>
      <c r="J8" s="14"/>
      <c r="K8" s="14"/>
      <c r="L8" s="14"/>
      <c r="M8" s="14"/>
      <c r="N8" s="14"/>
      <c r="O8" s="14"/>
      <c r="P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row>
    <row r="9" spans="1:124" ht="9.9" customHeight="1">
      <c r="A9" s="14"/>
      <c r="B9" s="14"/>
      <c r="C9" s="14"/>
      <c r="D9" s="20"/>
      <c r="E9" s="20"/>
      <c r="F9" s="20"/>
      <c r="G9" s="14"/>
      <c r="H9" s="14"/>
      <c r="I9" s="14"/>
      <c r="J9" s="14"/>
      <c r="K9" s="14"/>
      <c r="L9" s="14"/>
      <c r="M9" s="14"/>
      <c r="N9" s="14"/>
      <c r="O9" s="14"/>
      <c r="P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row>
    <row r="10" spans="1:124">
      <c r="A10" s="14"/>
      <c r="B10" s="14"/>
      <c r="C10" s="19" t="s">
        <v>17</v>
      </c>
      <c r="D10" s="14"/>
      <c r="E10" s="14"/>
      <c r="F10" s="14"/>
      <c r="G10" s="14"/>
      <c r="H10" s="14"/>
      <c r="I10" s="14"/>
      <c r="J10" s="14"/>
      <c r="K10" s="14"/>
      <c r="L10" s="14"/>
      <c r="M10" s="14"/>
      <c r="N10" s="14"/>
      <c r="O10" s="14"/>
      <c r="P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row>
    <row r="11" spans="1:124" ht="20.25" customHeight="1">
      <c r="A11" s="14"/>
      <c r="B11" s="14"/>
      <c r="C11" s="143"/>
      <c r="D11" s="144"/>
      <c r="E11" s="144"/>
      <c r="F11" s="145"/>
      <c r="G11" s="14"/>
      <c r="H11" s="14"/>
      <c r="I11" s="14"/>
      <c r="J11" s="14"/>
      <c r="K11" s="14"/>
      <c r="L11" s="14"/>
      <c r="M11" s="14"/>
      <c r="N11" s="14"/>
      <c r="O11" s="14"/>
      <c r="P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row>
    <row r="12" spans="1:124" ht="9.9" customHeight="1">
      <c r="A12" s="14"/>
      <c r="B12" s="14"/>
      <c r="C12" s="14"/>
      <c r="D12" s="14"/>
      <c r="E12" s="14"/>
      <c r="F12" s="14"/>
      <c r="G12" s="14"/>
      <c r="H12" s="14"/>
      <c r="I12" s="14"/>
      <c r="J12" s="14"/>
      <c r="K12" s="14"/>
      <c r="L12" s="14"/>
      <c r="M12" s="14"/>
      <c r="N12" s="14"/>
      <c r="O12" s="14"/>
      <c r="P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row>
    <row r="13" spans="1:124">
      <c r="A13" s="14"/>
      <c r="B13" s="14"/>
      <c r="C13" s="19" t="s">
        <v>18</v>
      </c>
      <c r="D13" s="14"/>
      <c r="E13" s="14"/>
      <c r="F13" s="14"/>
      <c r="G13" s="14"/>
      <c r="H13" s="14"/>
      <c r="I13" s="14"/>
      <c r="J13" s="14"/>
      <c r="K13" s="14"/>
      <c r="L13" s="14"/>
      <c r="M13" s="14"/>
      <c r="N13" s="14"/>
      <c r="O13" s="14"/>
      <c r="P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row>
    <row r="14" spans="1:124" ht="20.25" customHeight="1">
      <c r="A14" s="14"/>
      <c r="B14" s="14"/>
      <c r="C14" s="143"/>
      <c r="D14" s="144"/>
      <c r="E14" s="144"/>
      <c r="F14" s="145"/>
      <c r="G14" s="14"/>
      <c r="H14" s="14"/>
      <c r="I14" s="14"/>
      <c r="J14" s="14"/>
      <c r="K14" s="14"/>
      <c r="L14" s="14"/>
      <c r="M14" s="14"/>
      <c r="N14" s="14"/>
      <c r="O14" s="14"/>
      <c r="P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row>
    <row r="15" spans="1:124" ht="9.9" customHeight="1">
      <c r="A15" s="14"/>
      <c r="B15" s="14"/>
      <c r="C15" s="14"/>
      <c r="D15" s="14"/>
      <c r="E15" s="14"/>
      <c r="F15" s="14"/>
      <c r="G15" s="14"/>
      <c r="H15" s="14"/>
      <c r="I15" s="14"/>
      <c r="J15" s="14"/>
      <c r="K15" s="14"/>
      <c r="L15" s="14"/>
      <c r="M15" s="14"/>
      <c r="N15" s="14"/>
      <c r="O15" s="14"/>
      <c r="P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row>
    <row r="16" spans="1:124">
      <c r="A16" s="14"/>
      <c r="B16" s="14"/>
      <c r="C16" s="21" t="s">
        <v>49</v>
      </c>
      <c r="D16" s="22"/>
      <c r="E16" s="14"/>
      <c r="F16" s="14"/>
      <c r="G16" s="14"/>
      <c r="H16" s="14"/>
      <c r="I16" s="14"/>
      <c r="J16" s="14"/>
      <c r="K16" s="14"/>
      <c r="L16" s="14"/>
      <c r="M16" s="14"/>
      <c r="N16" s="14"/>
      <c r="O16" s="14"/>
      <c r="P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row>
    <row r="17" spans="1:124">
      <c r="A17" s="14"/>
      <c r="B17" s="14"/>
      <c r="C17" s="14"/>
      <c r="D17" s="14"/>
      <c r="E17" s="14"/>
      <c r="F17" s="14"/>
      <c r="G17" s="14"/>
      <c r="H17" s="14"/>
      <c r="I17" s="14"/>
      <c r="J17" s="14"/>
      <c r="K17" s="14"/>
      <c r="L17" s="14"/>
      <c r="M17" s="14"/>
      <c r="N17" s="14"/>
      <c r="O17" s="14"/>
      <c r="P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row>
    <row r="18" spans="1:124" ht="9" customHeight="1">
      <c r="A18" s="14"/>
      <c r="B18" s="14"/>
      <c r="C18" s="14"/>
      <c r="D18" s="14"/>
      <c r="E18" s="14"/>
      <c r="F18" s="14"/>
      <c r="G18" s="14"/>
      <c r="H18" s="14"/>
      <c r="I18" s="14"/>
      <c r="J18" s="14"/>
      <c r="K18" s="14"/>
      <c r="L18" s="14"/>
      <c r="M18" s="14"/>
      <c r="N18" s="14"/>
      <c r="O18" s="14"/>
      <c r="P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row>
    <row r="19" spans="1:124" ht="9.9" customHeight="1">
      <c r="A19" s="14"/>
      <c r="B19" s="14"/>
      <c r="C19" s="14"/>
      <c r="D19" s="14"/>
      <c r="E19" s="14"/>
      <c r="F19" s="14"/>
      <c r="G19" s="14"/>
      <c r="H19" s="14"/>
      <c r="I19" s="14"/>
      <c r="J19" s="14"/>
      <c r="K19" s="14"/>
      <c r="L19" s="14"/>
      <c r="M19" s="14"/>
      <c r="N19" s="14"/>
      <c r="O19" s="14"/>
      <c r="P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row>
    <row r="20" spans="1:124">
      <c r="A20" s="14"/>
      <c r="B20" s="14"/>
      <c r="C20" s="19" t="s">
        <v>20</v>
      </c>
      <c r="D20" s="14"/>
      <c r="E20" s="14"/>
      <c r="F20" s="14"/>
      <c r="G20" s="14"/>
      <c r="H20" s="14"/>
      <c r="I20" s="14"/>
      <c r="J20" s="14"/>
      <c r="K20" s="14"/>
      <c r="L20" s="14"/>
      <c r="M20" s="14"/>
      <c r="N20" s="14"/>
      <c r="O20" s="14"/>
      <c r="P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row>
    <row r="21" spans="1:124">
      <c r="A21" s="14"/>
      <c r="B21" s="14"/>
      <c r="C21" s="14"/>
      <c r="D21" s="14"/>
      <c r="E21" s="14"/>
      <c r="F21" s="14"/>
      <c r="G21" s="187"/>
      <c r="H21" s="14"/>
      <c r="I21" s="14"/>
      <c r="J21" s="14"/>
      <c r="K21" s="14"/>
      <c r="L21" s="14"/>
      <c r="M21" s="14"/>
      <c r="N21" s="14"/>
      <c r="O21" s="14"/>
      <c r="P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row>
    <row r="22" spans="1:124" ht="6.75" customHeight="1">
      <c r="A22" s="14"/>
      <c r="B22" s="14"/>
      <c r="C22" s="14"/>
      <c r="D22" s="14"/>
      <c r="E22" s="14"/>
      <c r="F22" s="14"/>
      <c r="G22" s="187"/>
      <c r="H22" s="14"/>
      <c r="I22" s="14"/>
      <c r="J22" s="14"/>
      <c r="K22" s="14"/>
      <c r="L22" s="14"/>
      <c r="M22" s="14"/>
      <c r="N22" s="14"/>
      <c r="O22" s="14"/>
      <c r="P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row>
    <row r="23" spans="1:124" ht="9.9" customHeight="1">
      <c r="A23" s="14"/>
      <c r="B23" s="14"/>
      <c r="C23" s="14"/>
      <c r="D23" s="14"/>
      <c r="E23" s="14"/>
      <c r="F23" s="14"/>
      <c r="G23" s="14"/>
      <c r="H23" s="14"/>
      <c r="I23" s="14"/>
      <c r="J23" s="14"/>
      <c r="K23" s="14"/>
      <c r="L23" s="14"/>
      <c r="M23" s="14"/>
      <c r="N23" s="14"/>
      <c r="O23" s="14"/>
      <c r="P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row>
    <row r="24" spans="1:124">
      <c r="A24" s="14"/>
      <c r="B24" s="14"/>
      <c r="C24" s="19" t="s">
        <v>13</v>
      </c>
      <c r="D24" s="14"/>
      <c r="E24" s="14"/>
      <c r="F24" s="14"/>
      <c r="G24" s="14"/>
      <c r="H24" s="14"/>
      <c r="I24" s="14"/>
      <c r="J24" s="14"/>
      <c r="K24" s="14"/>
      <c r="L24" s="14"/>
      <c r="M24" s="14"/>
      <c r="N24" s="14"/>
      <c r="O24" s="14"/>
      <c r="P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row>
    <row r="25" spans="1:124">
      <c r="A25" s="14"/>
      <c r="B25" s="14"/>
      <c r="C25" s="14"/>
      <c r="D25" s="14"/>
      <c r="E25" s="14"/>
      <c r="F25" s="14"/>
      <c r="G25" s="14"/>
      <c r="H25" s="14"/>
      <c r="I25" s="14"/>
      <c r="J25" s="14"/>
      <c r="K25" s="14"/>
      <c r="L25" s="14"/>
      <c r="M25" s="14"/>
      <c r="N25" s="14"/>
      <c r="O25" s="14"/>
      <c r="P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row>
    <row r="26" spans="1:124">
      <c r="A26" s="14"/>
      <c r="B26" s="14"/>
      <c r="C26" s="14"/>
      <c r="D26" s="14"/>
      <c r="E26" s="14"/>
      <c r="F26" s="14"/>
      <c r="G26" s="14"/>
      <c r="H26" s="14"/>
      <c r="I26" s="14"/>
      <c r="J26" s="14"/>
      <c r="K26" s="14"/>
      <c r="L26" s="14"/>
      <c r="M26" s="14"/>
      <c r="N26" s="14"/>
      <c r="O26" s="14"/>
      <c r="P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row>
    <row r="27" spans="1:124">
      <c r="A27" s="14"/>
      <c r="B27" s="14"/>
      <c r="C27" s="19" t="str">
        <f>IF(P57=TRUE,"Gjelder følgende produkter:",IF(U57=TRUE,"Gjelder følgende produkter:",IF(Q57=TRUE,"Gjelder følgende produkt:",IF(R57=TRUE,"Gjelder følgende produkter:",IF(S57=TRUE,"Gjelder følgende produkter:","")))))</f>
        <v/>
      </c>
      <c r="D27" s="23"/>
      <c r="E27" s="14"/>
      <c r="F27" s="14"/>
      <c r="G27" s="14"/>
      <c r="H27" s="14"/>
      <c r="I27" s="14"/>
      <c r="J27" s="14"/>
      <c r="K27" s="14"/>
      <c r="L27" s="14"/>
      <c r="M27" s="14"/>
      <c r="N27" s="14"/>
      <c r="O27" s="14"/>
      <c r="P27" s="14"/>
      <c r="T27" s="3" t="b">
        <f>IF(D27="",FALSE,TRUE)</f>
        <v>0</v>
      </c>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row>
    <row r="28" spans="1:124">
      <c r="A28" s="14"/>
      <c r="B28" s="14"/>
      <c r="C28" s="197" t="str">
        <f>T34</f>
        <v/>
      </c>
      <c r="D28" s="197"/>
      <c r="E28" s="197"/>
      <c r="F28" s="197"/>
      <c r="G28" s="197"/>
      <c r="H28" s="197"/>
      <c r="I28" s="197"/>
      <c r="J28" s="14"/>
      <c r="K28" s="14"/>
      <c r="L28" s="14"/>
      <c r="M28" s="14"/>
      <c r="N28" s="14"/>
      <c r="O28" s="14"/>
      <c r="P28" s="14"/>
      <c r="T28" s="3" t="str">
        <f>IF($P$57=TRUE,"Sponplater, ",IF(Q57=TRUE,"Limtre.",IF(R57=TRUE,"Vinyl/linoleum, ",IF(S57=TRUE,"Ferdige tapeter, ",IF(U57=TRUE,"Vinyl-/våtromstapet, ","")))))</f>
        <v/>
      </c>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row>
    <row r="29" spans="1:124">
      <c r="A29" s="14"/>
      <c r="B29" s="14"/>
      <c r="C29" s="197"/>
      <c r="D29" s="197"/>
      <c r="E29" s="197"/>
      <c r="F29" s="197"/>
      <c r="G29" s="197"/>
      <c r="H29" s="197"/>
      <c r="I29" s="197"/>
      <c r="J29" s="14"/>
      <c r="K29" s="14"/>
      <c r="L29" s="14"/>
      <c r="M29" s="14"/>
      <c r="N29" s="14"/>
      <c r="O29" s="14"/>
      <c r="P29" s="14"/>
      <c r="T29" s="3" t="str">
        <f>IF($P$57=TRUE,"fiberplater (også MDF), ",IF(R57=TRUE,"kork og gummi, ",IF(S57=TRUE,"tapet som skal dekoreres, ",IF(U57=TRUE,"glassfiberstrie",""))))</f>
        <v/>
      </c>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row>
    <row r="30" spans="1:124" hidden="1">
      <c r="A30" s="14"/>
      <c r="B30" s="14"/>
      <c r="C30" s="14"/>
      <c r="D30" s="24"/>
      <c r="E30" s="14"/>
      <c r="F30" s="14"/>
      <c r="G30" s="14"/>
      <c r="H30" s="14"/>
      <c r="I30" s="14"/>
      <c r="J30" s="14"/>
      <c r="K30" s="14"/>
      <c r="L30" s="14"/>
      <c r="M30" s="14"/>
      <c r="N30" s="14"/>
      <c r="O30" s="14"/>
      <c r="P30" s="14"/>
      <c r="T30" s="3" t="str">
        <f>IF($P$57=TRUE,"OSB, ",IF(R57=TRUE,"teppe ",IF(S57=TRUE,"tekstile veggkledninger, ","")))</f>
        <v/>
      </c>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row>
    <row r="31" spans="1:124" hidden="1">
      <c r="A31" s="14"/>
      <c r="B31" s="14"/>
      <c r="C31" s="14"/>
      <c r="D31" s="24"/>
      <c r="E31" s="14"/>
      <c r="F31" s="14"/>
      <c r="G31" s="14"/>
      <c r="H31" s="14"/>
      <c r="I31" s="14"/>
      <c r="J31" s="14"/>
      <c r="K31" s="14"/>
      <c r="L31" s="14"/>
      <c r="M31" s="14"/>
      <c r="N31" s="14"/>
      <c r="O31" s="14"/>
      <c r="P31" s="14"/>
      <c r="T31" s="3" t="str">
        <f>IF($P$57=TRUE,"sementbundne sponplater, ",IF(R57=TRUE,"og laminatgulv.",IF(S57=TRUE,"veggkledninger for hard belastning ","")))</f>
        <v/>
      </c>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row>
    <row r="32" spans="1:124" hidden="1">
      <c r="A32" s="14"/>
      <c r="B32" s="14"/>
      <c r="C32" s="14"/>
      <c r="D32" s="24"/>
      <c r="E32" s="14"/>
      <c r="F32" s="14"/>
      <c r="G32" s="14"/>
      <c r="H32" s="14"/>
      <c r="I32" s="14"/>
      <c r="J32" s="14"/>
      <c r="K32" s="14"/>
      <c r="L32" s="14"/>
      <c r="M32" s="14"/>
      <c r="N32" s="14"/>
      <c r="O32" s="14"/>
      <c r="P32" s="14"/>
      <c r="T32" s="3" t="str">
        <f>IF($P$57=TRUE,"kryssfinér, ",IF(S57=TRUE,"og veggkledninger i vinyl og plast.",""))</f>
        <v/>
      </c>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row>
    <row r="33" spans="1:124" hidden="1">
      <c r="A33" s="14"/>
      <c r="B33" s="14"/>
      <c r="C33" s="14"/>
      <c r="D33" s="24"/>
      <c r="E33" s="14"/>
      <c r="F33" s="14"/>
      <c r="G33" s="14"/>
      <c r="H33" s="14"/>
      <c r="I33" s="14"/>
      <c r="J33" s="14"/>
      <c r="K33" s="14"/>
      <c r="L33" s="14"/>
      <c r="M33" s="14"/>
      <c r="N33" s="14"/>
      <c r="O33" s="14"/>
      <c r="P33" s="14"/>
      <c r="T33" s="3" t="str">
        <f>IF($P$57=TRUE,"heltrepanel og akustikkplater.","")</f>
        <v/>
      </c>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row>
    <row r="34" spans="1:124">
      <c r="A34" s="14"/>
      <c r="B34" s="14"/>
      <c r="C34" s="14"/>
      <c r="D34" s="14"/>
      <c r="E34" s="14"/>
      <c r="F34" s="14"/>
      <c r="G34" s="14"/>
      <c r="H34" s="16"/>
      <c r="I34" s="16"/>
      <c r="J34" s="16"/>
      <c r="K34" s="16"/>
      <c r="L34" s="14"/>
      <c r="M34" s="14"/>
      <c r="N34" s="14"/>
      <c r="O34" s="14"/>
      <c r="P34" s="14"/>
      <c r="T34" s="3" t="str">
        <f>CONCATENATE(T28,T29,T30,T31,T32,T33)</f>
        <v/>
      </c>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row>
    <row r="35" spans="1:124" ht="15" customHeight="1">
      <c r="A35" s="14"/>
      <c r="B35" s="14"/>
      <c r="C35" s="188" t="str">
        <f>IF(O46=3,X47,IF(O46=2,X53,""))</f>
        <v/>
      </c>
      <c r="D35" s="189"/>
      <c r="E35" s="189"/>
      <c r="F35" s="189"/>
      <c r="G35" s="189"/>
      <c r="H35" s="189"/>
      <c r="I35" s="189"/>
      <c r="J35" s="189"/>
      <c r="K35" s="189"/>
      <c r="L35" s="189"/>
      <c r="M35" s="189"/>
      <c r="N35" s="189"/>
      <c r="O35" s="190"/>
      <c r="P35" s="14"/>
      <c r="U35" s="3" t="b">
        <f>IF(R63=TRUE,TRUE,IF(R65=TRUE,TRUE,IF(R66=TRUE,TRUE,IF(S63=TRUE,TRUE,IF(S65=TRUE,TRUE,IF(S66=TRUE,TRUE,FALSE))))))</f>
        <v>0</v>
      </c>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row>
    <row r="36" spans="1:124">
      <c r="A36" s="14"/>
      <c r="B36" s="14"/>
      <c r="C36" s="191"/>
      <c r="D36" s="192"/>
      <c r="E36" s="192"/>
      <c r="F36" s="192"/>
      <c r="G36" s="192"/>
      <c r="H36" s="192"/>
      <c r="I36" s="192"/>
      <c r="J36" s="192"/>
      <c r="K36" s="192"/>
      <c r="L36" s="192"/>
      <c r="M36" s="192"/>
      <c r="N36" s="192"/>
      <c r="O36" s="193"/>
      <c r="P36" s="14"/>
      <c r="U36" s="3" t="str">
        <f>IF(U35=TRUE,"navngitt","navngitte")</f>
        <v>navngitte</v>
      </c>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row>
    <row r="37" spans="1:124" ht="15" customHeight="1">
      <c r="A37" s="14"/>
      <c r="B37" s="14"/>
      <c r="C37" s="191"/>
      <c r="D37" s="192"/>
      <c r="E37" s="192"/>
      <c r="F37" s="192"/>
      <c r="G37" s="192"/>
      <c r="H37" s="192"/>
      <c r="I37" s="192"/>
      <c r="J37" s="192"/>
      <c r="K37" s="192"/>
      <c r="L37" s="192"/>
      <c r="M37" s="192"/>
      <c r="N37" s="192"/>
      <c r="O37" s="193"/>
      <c r="P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row>
    <row r="38" spans="1:124" ht="15" hidden="1" customHeight="1">
      <c r="A38" s="14"/>
      <c r="B38" s="14"/>
      <c r="C38" s="191"/>
      <c r="D38" s="192"/>
      <c r="E38" s="192"/>
      <c r="F38" s="192"/>
      <c r="G38" s="192"/>
      <c r="H38" s="192"/>
      <c r="I38" s="192"/>
      <c r="J38" s="192"/>
      <c r="K38" s="192"/>
      <c r="L38" s="192"/>
      <c r="M38" s="192"/>
      <c r="N38" s="192"/>
      <c r="O38" s="193"/>
      <c r="P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row>
    <row r="39" spans="1:124" ht="21" hidden="1" customHeight="1">
      <c r="A39" s="14"/>
      <c r="B39" s="14"/>
      <c r="C39" s="191"/>
      <c r="D39" s="192"/>
      <c r="E39" s="192"/>
      <c r="F39" s="192"/>
      <c r="G39" s="192"/>
      <c r="H39" s="192"/>
      <c r="I39" s="192"/>
      <c r="J39" s="192"/>
      <c r="K39" s="192"/>
      <c r="L39" s="192"/>
      <c r="M39" s="192"/>
      <c r="N39" s="192"/>
      <c r="O39" s="193"/>
      <c r="P39" s="14"/>
      <c r="T39" s="3" t="str">
        <f>IF(O58=1,"",IF(O46=3,"Følgende produkter tilfredsstiller krav som stilles til "&amp;T70&amp;" i emne «HEA 9 - Forurensning i innemiljø» i BREEAM-NOR","Følgende "&amp;U36&amp;" "&amp;T70&amp;" tilfredsstiller minimumskrav til miljøgifter i BREEAM-NORs sjekkliste A20"))</f>
        <v/>
      </c>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row>
    <row r="40" spans="1:124">
      <c r="A40" s="14"/>
      <c r="B40" s="14"/>
      <c r="C40" s="194"/>
      <c r="D40" s="195"/>
      <c r="E40" s="195"/>
      <c r="F40" s="195"/>
      <c r="G40" s="195"/>
      <c r="H40" s="195"/>
      <c r="I40" s="195"/>
      <c r="J40" s="195"/>
      <c r="K40" s="195"/>
      <c r="L40" s="195"/>
      <c r="M40" s="195"/>
      <c r="N40" s="195"/>
      <c r="O40" s="196"/>
      <c r="P40" s="14"/>
      <c r="T40" s="3" t="str">
        <f>IF(O46=1,"",IF(O58=1,"",IF(R67=TRUE,"",IF(R68=TRUE,"","(Her kan alle typer "&amp;T70&amp;" fra produsenten som tilfredsstiller kriteriene nedenfor listes opp, og på den måten slippe å fylle ut ett skjema for hvert produkt):"))))</f>
        <v/>
      </c>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row>
    <row r="41" spans="1:124" ht="7.5" customHeight="1">
      <c r="A41" s="14"/>
      <c r="B41" s="14"/>
      <c r="C41" s="14"/>
      <c r="D41" s="26"/>
      <c r="E41" s="26"/>
      <c r="F41" s="26"/>
      <c r="G41" s="26"/>
      <c r="H41" s="25"/>
      <c r="I41" s="25"/>
      <c r="J41" s="25"/>
      <c r="K41" s="25"/>
      <c r="L41" s="14"/>
      <c r="M41" s="14"/>
      <c r="N41" s="14"/>
      <c r="O41" s="14"/>
      <c r="P41" s="14"/>
      <c r="T41" s="3" t="str">
        <f>IF(O46=1,"",IF(O58=9,"",IF(O58=10,"",CONCATENATE(T39," ",T40))))</f>
        <v/>
      </c>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row>
    <row r="42" spans="1:124" ht="15" customHeight="1">
      <c r="A42" s="14"/>
      <c r="B42" s="14"/>
      <c r="C42" s="198" t="str">
        <f>IF(T41="","",T41)</f>
        <v/>
      </c>
      <c r="D42" s="198"/>
      <c r="E42" s="198"/>
      <c r="F42" s="198"/>
      <c r="G42" s="198"/>
      <c r="H42" s="198"/>
      <c r="I42" s="198"/>
      <c r="J42" s="198"/>
      <c r="K42" s="198"/>
      <c r="L42" s="198"/>
      <c r="M42" s="198"/>
      <c r="N42" s="198"/>
      <c r="O42" s="198"/>
      <c r="P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row>
    <row r="43" spans="1:124" ht="15" customHeight="1">
      <c r="A43" s="14"/>
      <c r="B43" s="14"/>
      <c r="C43" s="198"/>
      <c r="D43" s="198"/>
      <c r="E43" s="198"/>
      <c r="F43" s="198"/>
      <c r="G43" s="198"/>
      <c r="H43" s="198"/>
      <c r="I43" s="198"/>
      <c r="J43" s="198"/>
      <c r="K43" s="198"/>
      <c r="L43" s="198"/>
      <c r="M43" s="198"/>
      <c r="N43" s="198"/>
      <c r="O43" s="198"/>
      <c r="P43" s="14"/>
      <c r="T43" s="3" t="str">
        <f>T39&amp;"."</f>
        <v>.</v>
      </c>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row>
    <row r="44" spans="1:124" ht="15" customHeight="1">
      <c r="A44" s="14"/>
      <c r="B44" s="14"/>
      <c r="C44" s="198"/>
      <c r="D44" s="198"/>
      <c r="E44" s="198"/>
      <c r="F44" s="198"/>
      <c r="G44" s="198"/>
      <c r="H44" s="198"/>
      <c r="I44" s="198"/>
      <c r="J44" s="198"/>
      <c r="K44" s="198"/>
      <c r="L44" s="198"/>
      <c r="M44" s="198"/>
      <c r="N44" s="198"/>
      <c r="O44" s="198"/>
      <c r="P44" s="14"/>
      <c r="Q44" s="3">
        <v>2</v>
      </c>
      <c r="W44" s="3">
        <f>LEN(X44)</f>
        <v>120</v>
      </c>
      <c r="X44" s="3" t="s">
        <v>14</v>
      </c>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row>
    <row r="45" spans="1:124" s="2" customFormat="1" ht="15" hidden="1" customHeight="1">
      <c r="A45" s="3"/>
      <c r="B45" s="3"/>
      <c r="C45" s="3"/>
      <c r="D45" s="3"/>
      <c r="E45" s="3"/>
      <c r="F45" s="3"/>
      <c r="G45" s="3"/>
      <c r="H45" s="4"/>
      <c r="I45" s="4"/>
      <c r="J45" s="4"/>
      <c r="K45" s="4"/>
      <c r="L45" s="3"/>
      <c r="M45" s="3"/>
      <c r="N45" s="3"/>
      <c r="O45" s="3"/>
      <c r="P45" s="3"/>
      <c r="Q45" s="3"/>
      <c r="R45" s="3"/>
      <c r="S45" s="3"/>
      <c r="T45" s="3"/>
      <c r="U45" s="3"/>
      <c r="V45" s="3"/>
      <c r="W45" s="3">
        <f>LEN(X45)</f>
        <v>253</v>
      </c>
      <c r="X45" s="3" t="s">
        <v>15</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row>
    <row r="46" spans="1:124" s="2" customFormat="1" ht="15" hidden="1" customHeight="1">
      <c r="A46" s="3"/>
      <c r="B46" s="3"/>
      <c r="C46" s="3"/>
      <c r="D46" s="3"/>
      <c r="E46" s="3"/>
      <c r="F46" s="3"/>
      <c r="G46" s="3"/>
      <c r="H46" s="3"/>
      <c r="I46" s="3"/>
      <c r="J46" s="3"/>
      <c r="K46" s="3"/>
      <c r="L46" s="3"/>
      <c r="M46" s="3"/>
      <c r="N46" s="3"/>
      <c r="O46" s="12">
        <v>1</v>
      </c>
      <c r="Q46" s="12" t="b">
        <f>IF(O46=1,TRUE,IF(O46=2,TRUE,IF($Q$65=FALSE,TRUE,FALSE)))</f>
        <v>1</v>
      </c>
      <c r="R46" s="3"/>
      <c r="S46" s="3"/>
      <c r="T46" s="3"/>
      <c r="U46" s="3"/>
      <c r="V46" s="3"/>
      <c r="W46" s="3">
        <f>LEN(X46)</f>
        <v>76</v>
      </c>
      <c r="X46" s="3" t="s">
        <v>60</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row>
    <row r="47" spans="1:124" s="2" customFormat="1" ht="15" hidden="1" customHeight="1">
      <c r="A47" s="3"/>
      <c r="B47" s="3"/>
      <c r="C47" s="3"/>
      <c r="D47" s="3"/>
      <c r="E47" s="3"/>
      <c r="F47" s="3"/>
      <c r="G47" s="3"/>
      <c r="H47" s="3"/>
      <c r="I47" s="3"/>
      <c r="J47" s="3"/>
      <c r="K47" s="3"/>
      <c r="L47" s="3"/>
      <c r="M47" s="3"/>
      <c r="N47" s="3"/>
      <c r="O47" s="2">
        <v>1</v>
      </c>
      <c r="P47" s="13" t="s">
        <v>2</v>
      </c>
      <c r="Q47" s="3"/>
      <c r="R47" s="3"/>
      <c r="S47" s="3"/>
      <c r="T47" s="3"/>
      <c r="U47" s="3"/>
      <c r="V47" s="3"/>
      <c r="W47" s="3"/>
      <c r="X47" s="3" t="str">
        <f>CONCATENATE(X44,X45,X46)</f>
        <v>Ferdig utfylt skjema undertegnes av en juridisk ansvarlig person hos produsent, f.eks. teknisk sjef eller daglig leder. Det er viktig at opplysningene som oppgis her er korrekte, og det oppfordres til grundighet når man undersøker hvorvidt emisjonstester og/eller testrapporter viser at produktet tilfredsstiller de standardene og emisjonsgrensene som BREEAM-NOR har satt. Er produsenten i tvil, bør man benytte egne interne og eksterne konsulenter.</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row>
    <row r="48" spans="1:124" s="2" customFormat="1" ht="15" hidden="1" customHeight="1">
      <c r="A48" s="3"/>
      <c r="B48" s="3"/>
      <c r="C48" s="3"/>
      <c r="D48" s="3"/>
      <c r="E48" s="3"/>
      <c r="F48" s="3"/>
      <c r="G48" s="3"/>
      <c r="H48" s="3"/>
      <c r="I48" s="3"/>
      <c r="J48" s="3"/>
      <c r="K48" s="3"/>
      <c r="L48" s="3"/>
      <c r="M48" s="3"/>
      <c r="N48" s="3"/>
      <c r="O48" s="2">
        <v>2</v>
      </c>
      <c r="P48" s="2" t="s">
        <v>1</v>
      </c>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row>
    <row r="49" spans="1:124" s="2" customFormat="1" ht="15" hidden="1" customHeight="1">
      <c r="A49" s="3"/>
      <c r="B49" s="3"/>
      <c r="C49" s="3"/>
      <c r="E49" s="3"/>
      <c r="F49" s="3"/>
      <c r="G49" s="3"/>
      <c r="H49" s="3"/>
      <c r="I49" s="3"/>
      <c r="J49" s="3"/>
      <c r="K49" s="3"/>
      <c r="L49" s="3"/>
      <c r="M49" s="3"/>
      <c r="N49" s="3"/>
      <c r="O49" s="2">
        <v>3</v>
      </c>
      <c r="P49" s="2" t="s">
        <v>0</v>
      </c>
      <c r="Q49" s="3"/>
      <c r="R49" s="3"/>
      <c r="S49" s="3" t="b">
        <f>IF(O46=3,TRUE,FALSE)</f>
        <v>0</v>
      </c>
      <c r="T49" s="3"/>
      <c r="U49" s="3"/>
      <c r="V49" s="3"/>
      <c r="W49" s="3">
        <f>LEN(X49)</f>
        <v>219</v>
      </c>
      <c r="X49" s="3" t="s">
        <v>16</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row>
    <row r="50" spans="1:124" s="2" customFormat="1" ht="15" hidden="1" customHeight="1">
      <c r="A50" s="3"/>
      <c r="B50" s="3"/>
      <c r="C50" s="3"/>
      <c r="D50" s="3"/>
      <c r="E50" s="3"/>
      <c r="F50" s="3"/>
      <c r="G50" s="3"/>
      <c r="H50" s="3"/>
      <c r="I50" s="3"/>
      <c r="J50" s="3"/>
      <c r="K50" s="3"/>
      <c r="L50" s="3"/>
      <c r="M50" s="3"/>
      <c r="N50" s="3"/>
      <c r="O50" s="12">
        <v>1</v>
      </c>
      <c r="P50" s="2">
        <f>O46+O50</f>
        <v>2</v>
      </c>
      <c r="Q50" s="3"/>
      <c r="R50" s="3"/>
      <c r="S50" s="3"/>
      <c r="T50" s="3"/>
      <c r="U50" s="3"/>
      <c r="V50" s="3"/>
      <c r="W50" s="3">
        <f>LEN(X50)</f>
        <v>208</v>
      </c>
      <c r="X50" s="3" t="s">
        <v>92</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row>
    <row r="51" spans="1:124" s="2" customFormat="1" ht="15" hidden="1" customHeight="1">
      <c r="A51" s="3"/>
      <c r="B51" s="3"/>
      <c r="C51" s="3"/>
      <c r="D51" s="3"/>
      <c r="E51" s="3"/>
      <c r="F51" s="3"/>
      <c r="G51" s="3"/>
      <c r="H51" s="3"/>
      <c r="I51" s="3"/>
      <c r="J51" s="3"/>
      <c r="K51" s="3"/>
      <c r="L51" s="3"/>
      <c r="M51" s="3"/>
      <c r="N51" s="3"/>
      <c r="O51" s="2">
        <v>1</v>
      </c>
      <c r="P51" s="13" t="str">
        <f>IF(O46=2,"- Velg -",IF(O46=3,"(Ikke påkrevd)",""))</f>
        <v/>
      </c>
      <c r="Q51" s="3"/>
      <c r="R51" s="3"/>
      <c r="S51" s="3"/>
      <c r="T51" s="3"/>
      <c r="U51" s="3"/>
      <c r="V51" s="3"/>
      <c r="W51" s="3">
        <f>LEN(X51)</f>
        <v>76</v>
      </c>
      <c r="X51" s="3" t="s">
        <v>59</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row>
    <row r="52" spans="1:124" s="2" customFormat="1" ht="15" hidden="1" customHeight="1">
      <c r="A52" s="3"/>
      <c r="B52" s="3"/>
      <c r="C52" s="3"/>
      <c r="D52" s="3"/>
      <c r="E52" s="3"/>
      <c r="F52" s="3"/>
      <c r="G52" s="3"/>
      <c r="H52" s="3"/>
      <c r="I52" s="3"/>
      <c r="J52" s="5"/>
      <c r="K52" s="3"/>
      <c r="L52" s="3"/>
      <c r="M52" s="3"/>
      <c r="N52" s="3"/>
      <c r="O52" s="2">
        <v>2</v>
      </c>
      <c r="P52" s="2" t="str">
        <f>IF(O46=2,"For prosjekter registrert fra 14.03.2012 til 30.03.2013",IF(O46=3,"(Ikke påkrevd)",""))</f>
        <v/>
      </c>
      <c r="Q52" s="3"/>
      <c r="R52" s="3"/>
      <c r="S52" s="3"/>
      <c r="T52" s="3"/>
      <c r="U52" s="3"/>
      <c r="V52" s="3"/>
      <c r="W52" s="3">
        <f>LEN(X52)</f>
        <v>271</v>
      </c>
      <c r="X52" s="2" t="s">
        <v>96</v>
      </c>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row>
    <row r="53" spans="1:124" s="2" customFormat="1" ht="15" hidden="1" customHeight="1">
      <c r="A53" s="3"/>
      <c r="B53" s="3"/>
      <c r="C53" s="3"/>
      <c r="E53" s="3"/>
      <c r="F53" s="3"/>
      <c r="G53" s="3"/>
      <c r="H53" s="3"/>
      <c r="I53" s="3"/>
      <c r="J53" s="5"/>
      <c r="K53" s="3"/>
      <c r="L53" s="3"/>
      <c r="M53" s="3"/>
      <c r="N53" s="3"/>
      <c r="O53" s="2">
        <v>3</v>
      </c>
      <c r="P53" s="2" t="str">
        <f>IF(O46=2,"For prosjekter registrert etter 01.04.2013",IF(O46=3,"(Ikke påkrevd)",""))</f>
        <v/>
      </c>
      <c r="Q53" s="3"/>
      <c r="R53" s="3"/>
      <c r="S53" s="3"/>
      <c r="T53" s="3"/>
      <c r="U53" s="3"/>
      <c r="V53" s="3"/>
      <c r="W53" s="3"/>
      <c r="X53" s="3" t="str">
        <f>CONCATENATE(X49,X50,X51,X52)</f>
        <v>Ferdig utfylt skjema undertegnes av en juridisk ansvarlig person hos produsent, f.eks. teknisk sjef eller daglig leder. Stoffer som skal unngås kan ikke finnes i produktet, verken i fri, i bunden eller i naturlig form. Konsentrasjoner under grenseverdien på ≤ 0,1 % godtas. Det er forutsatt at informasjonen i A20-listen er kjent. Bemerk dato på deklarasjonsskjema må samsvare med gjeldende prosessnotat i det angitte tidsrom. For faste bygningsprodukter vil godkjent dokumentasjon være ett av følgende: Karakter 1-6 (grønn eller hvit) iht. ECOproduct (Norsk Byggtjeneste), Sintef Byggforsk Teknisk Godkjenning utarbeidet etter 1. januar 2010, Miljømerket Svanen eller EU-blomsten. For kjemiske produkter kan man også sjekke opp mot sikkerhetsdatabladet (SDS) for produktet.</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row>
    <row r="54" spans="1:124" s="2" customFormat="1" ht="15" hidden="1" customHeight="1">
      <c r="A54" s="3"/>
      <c r="B54" s="3"/>
      <c r="C54" s="3"/>
      <c r="D54" s="3"/>
      <c r="E54" s="3"/>
      <c r="F54" s="3"/>
      <c r="G54" s="3"/>
      <c r="H54" s="3"/>
      <c r="I54" s="3"/>
      <c r="J54" s="5"/>
      <c r="K54" s="3"/>
      <c r="L54" s="3"/>
      <c r="M54" s="3"/>
      <c r="N54" s="3"/>
      <c r="P54" s="2" t="b">
        <f>IF(O46=1,IF(O50=1,TRUE,IF(O46=1,IF(O50=2,TRUE,FALSE))))</f>
        <v>1</v>
      </c>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row>
    <row r="55" spans="1:124" s="2" customFormat="1" ht="15" hidden="1" customHeight="1">
      <c r="A55" s="3"/>
      <c r="B55" s="3"/>
      <c r="C55" s="3"/>
      <c r="D55" s="3"/>
      <c r="E55" s="3"/>
      <c r="F55" s="3"/>
      <c r="G55" s="3"/>
      <c r="H55" s="3"/>
      <c r="I55" s="3"/>
      <c r="J55" s="5"/>
      <c r="K55" s="3"/>
      <c r="L55" s="3"/>
      <c r="M55" s="3"/>
      <c r="N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row>
    <row r="56" spans="1:124" s="2" customFormat="1" ht="15" hidden="1" customHeight="1">
      <c r="A56" s="3"/>
      <c r="B56" s="3"/>
      <c r="C56" s="3"/>
      <c r="D56" s="3"/>
      <c r="E56" s="3"/>
      <c r="F56" s="3"/>
      <c r="G56" s="3"/>
      <c r="H56" s="3"/>
      <c r="I56" s="3"/>
      <c r="J56" s="5"/>
      <c r="K56" s="3"/>
      <c r="L56" s="3"/>
      <c r="M56" s="3"/>
      <c r="N56" s="3"/>
      <c r="P56" s="2" t="s">
        <v>4</v>
      </c>
      <c r="Q56" s="3" t="s">
        <v>5</v>
      </c>
      <c r="R56" s="3" t="s">
        <v>3</v>
      </c>
      <c r="S56" s="3"/>
      <c r="T56" s="3"/>
      <c r="U56" s="3" t="s">
        <v>11</v>
      </c>
      <c r="V56" s="3"/>
      <c r="W56" s="3" t="s">
        <v>90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row>
    <row r="57" spans="1:124" s="2" customFormat="1" ht="15" hidden="1" customHeight="1">
      <c r="A57" s="3"/>
      <c r="B57" s="3"/>
      <c r="C57" s="3"/>
      <c r="D57" s="3"/>
      <c r="E57" s="3"/>
      <c r="F57" s="3"/>
      <c r="G57" s="3"/>
      <c r="H57" s="3"/>
      <c r="I57" s="3"/>
      <c r="J57" s="5"/>
      <c r="K57" s="3"/>
      <c r="L57" s="3"/>
      <c r="M57" s="3"/>
      <c r="N57" s="3"/>
      <c r="P57" s="2" t="b">
        <f>IF(O46=3,IF(O58=9,TRUE,FALSE))</f>
        <v>0</v>
      </c>
      <c r="Q57" s="3" t="b">
        <f>IF($O$46=3,IF($O$58=6,TRUE,FALSE))</f>
        <v>0</v>
      </c>
      <c r="R57" s="3" t="b">
        <f>IF($O$46=3,IF($O$58=3,TRUE,FALSE))</f>
        <v>0</v>
      </c>
      <c r="S57" s="3" t="b">
        <f>IF($O$46=3,IF($O$58=10,TRUE,FALSE))</f>
        <v>0</v>
      </c>
      <c r="T57" s="3" t="b">
        <f>IF($O$46=3,IF($O$58=7,TRUE,FALSE))</f>
        <v>0</v>
      </c>
      <c r="U57" s="3" t="b">
        <f>IF($O$46=2,IF($O$58=3,TRUE,FALSE))</f>
        <v>0</v>
      </c>
      <c r="V57" s="3"/>
      <c r="W57" s="3" t="s">
        <v>91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row>
    <row r="58" spans="1:124" s="2" customFormat="1" ht="15" hidden="1" customHeight="1">
      <c r="A58" s="3"/>
      <c r="B58" s="3"/>
      <c r="C58" s="3"/>
      <c r="D58" s="5"/>
      <c r="E58" s="5"/>
      <c r="F58" s="5"/>
      <c r="G58" s="5"/>
      <c r="H58" s="5"/>
      <c r="I58" s="5"/>
      <c r="J58" s="5"/>
      <c r="K58" s="3"/>
      <c r="L58" s="3"/>
      <c r="M58" s="3"/>
      <c r="N58" s="3"/>
      <c r="O58" s="12">
        <v>1</v>
      </c>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176" t="s">
        <v>12</v>
      </c>
      <c r="BA58" s="176"/>
      <c r="BB58" s="176"/>
      <c r="BC58" s="3"/>
      <c r="BD58" s="3"/>
      <c r="BE58" s="3"/>
      <c r="BF58" s="3"/>
      <c r="BG58" s="3"/>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row>
    <row r="59" spans="1:124" s="2" customFormat="1" ht="15" hidden="1" customHeight="1">
      <c r="A59" s="3"/>
      <c r="B59" s="3"/>
      <c r="C59" s="3"/>
      <c r="D59" s="3"/>
      <c r="E59" s="3"/>
      <c r="F59" s="3"/>
      <c r="G59" s="3"/>
      <c r="H59" s="3"/>
      <c r="I59" s="3"/>
      <c r="J59" s="3"/>
      <c r="K59" s="3"/>
      <c r="L59" s="3"/>
      <c r="M59" s="3"/>
      <c r="N59" s="3"/>
      <c r="O59" s="2">
        <v>1</v>
      </c>
      <c r="P59" s="13" t="str">
        <f>IF(O46=2,"- Velg -",IF(O46=3,"- Velg -",""))</f>
        <v/>
      </c>
      <c r="Q59" s="6" t="s">
        <v>12</v>
      </c>
      <c r="R59" s="3" t="s">
        <v>89</v>
      </c>
      <c r="S59" s="3" t="s">
        <v>88</v>
      </c>
      <c r="T59" s="4"/>
      <c r="U59" s="4"/>
      <c r="V59" s="4"/>
      <c r="W59" s="4"/>
      <c r="X59" s="4"/>
      <c r="Y59" s="4"/>
      <c r="Z59" s="4"/>
      <c r="AA59" s="3"/>
      <c r="AB59" s="4"/>
      <c r="AC59" s="4"/>
      <c r="AD59" s="4"/>
      <c r="AE59" s="4"/>
      <c r="AF59" s="4"/>
      <c r="AG59" s="4"/>
      <c r="AH59" s="4"/>
      <c r="AI59" s="4"/>
      <c r="AJ59" s="4"/>
      <c r="AK59" s="4"/>
      <c r="AL59" s="4"/>
      <c r="AM59" s="4"/>
      <c r="AN59" s="4"/>
      <c r="AO59" s="4"/>
      <c r="AP59" s="4"/>
      <c r="AQ59" s="4"/>
      <c r="AR59" s="4"/>
      <c r="AS59" s="4"/>
      <c r="AT59" s="4"/>
      <c r="AU59" s="4"/>
      <c r="AV59" s="4"/>
      <c r="AW59" s="4"/>
      <c r="AX59" s="4"/>
      <c r="AY59" s="4"/>
      <c r="AZ59" s="4" t="s">
        <v>21</v>
      </c>
      <c r="BA59" s="4" t="s">
        <v>22</v>
      </c>
      <c r="BB59" s="4" t="s">
        <v>23</v>
      </c>
      <c r="BC59" s="3"/>
      <c r="BD59" s="3"/>
      <c r="BE59" s="3"/>
      <c r="BF59" s="3"/>
      <c r="BG59" s="3"/>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row>
    <row r="60" spans="1:124" s="2" customFormat="1" ht="15" hidden="1" customHeight="1">
      <c r="A60" s="3"/>
      <c r="B60" s="3"/>
      <c r="C60" s="3"/>
      <c r="D60" s="3"/>
      <c r="E60" s="3"/>
      <c r="F60" s="3"/>
      <c r="G60" s="3"/>
      <c r="H60" s="3"/>
      <c r="I60" s="3"/>
      <c r="J60" s="3"/>
      <c r="K60" s="3"/>
      <c r="L60" s="3"/>
      <c r="M60" s="3"/>
      <c r="N60" s="3"/>
      <c r="O60" s="2">
        <v>2</v>
      </c>
      <c r="P60" s="13" t="str">
        <f>IF(O46=2,"Bygningsplater",IF(O46=3,"Fugemasser",""))</f>
        <v/>
      </c>
      <c r="Q60" s="3" t="b">
        <f>IF($O$46=3,IF($O$58=2,TRUE,FALSE))</f>
        <v>0</v>
      </c>
      <c r="R60" s="3" t="b">
        <f>IF($O$46=2,IF($O$50=3,IF($O$58=2,TRUE,FALSE)))</f>
        <v>0</v>
      </c>
      <c r="S60" s="3" t="b">
        <f>IF($O$46=2,IF($O$50=2,IF($O$58=2,TRUE,FALSE)))</f>
        <v>0</v>
      </c>
      <c r="T60" s="7" t="str">
        <f>IF($Q$60=TRUE,"fugemasser",IF(R60=TRUE,"bygningsplater",IF(S60=TRUE,"bygningsplater","")))</f>
        <v/>
      </c>
      <c r="U60" s="7" t="str">
        <f>IF($Q$60=TRUE,"1.",IF($R$60=TRUE,"1.",IF(S60=TRUE,"1.","")))</f>
        <v/>
      </c>
      <c r="V60" s="7" t="str">
        <f>IF($Q$60=TRUE,"Produktet har en emisjonstest som viser at emisjoner av TVOC er under 0,2 mg/m²h ¹⁾  ²⁾",IF(R60=TRUE,"Arsen",IF(S60=TRUE,"Arsen","")))</f>
        <v/>
      </c>
      <c r="W60" s="7" t="str">
        <f>IF($Q$60=TRUE,"NS-EN 15251:2007 (Tillegg C)","")</f>
        <v/>
      </c>
      <c r="X60" s="4" t="str">
        <f>IF($Q$60=TRUE,"2.",IF(R60=TRUE,"2.",IF(S60=TRUE,"2.","")))</f>
        <v/>
      </c>
      <c r="Y60" s="4" t="str">
        <f>IF($Q$60=TRUE,"Produktet har en emisjonstest som viser at emisjoner av formaldehyd er under 0,05 mg/m²h ¹⁾  ²⁾",IF(R60=TRUE,"Bly",IF(S60=TRUE,"Bly","")))</f>
        <v/>
      </c>
      <c r="Z60" s="4" t="str">
        <f>IF($Q$60=TRUE,"NS-EN 15251:2007 (Tillegg C)","")</f>
        <v/>
      </c>
      <c r="AA60" s="3"/>
      <c r="AB60" s="4" t="str">
        <f>IF($Q$60=TRUE,"3.a",IF(R60=TRUE,"3.",IF(S60=TRUE,"3.","")))</f>
        <v/>
      </c>
      <c r="AC60" s="4" t="str">
        <f>IF($Q$60=TRUE,"Produktet har en emisjonstest som viser at emisjoner av ammoniakk er under 0,03 mg/m²h ¹⁾  ²⁾  ³⁾",IF(R60=TRUE,"Bromerte flammehemmere (HBCDD, TBBPA)",IF(S60=TRUE,"Bromerte flammehemmere (HBCDD, TBBPA)","")))</f>
        <v/>
      </c>
      <c r="AD60" s="4" t="str">
        <f>IF($Q$60=TRUE,"NS-EN 15251:2007 (Tillegg C)","")</f>
        <v/>
      </c>
      <c r="AE60" s="4" t="str">
        <f>IF($Q$60=TRUE,"3.b",IF(R60=TRUE,"4.",IF(S60=TRUE,"4.","")))</f>
        <v/>
      </c>
      <c r="AF60" s="4" t="str">
        <f>IF($Q$60=TRUE,"Produktet har ikke en emisjonstest som måler emisjoner av ammoniakk, men undertegnede kan bekrefte:
1)   at ammoniakk ikke er sporbart aktivt i produktet, OG
2)   at produktet ikke inneholder stoffer som kan avspaltes til ammoniakk",IF($R$60=TRUE,"Ftalat DEHP",IF($S$60=TRUE,"Ftalatene DEHP, BBP og DBP","")))</f>
        <v/>
      </c>
      <c r="AG60" s="4" t="str">
        <f>IF($Q$60=TRUE,"","")</f>
        <v/>
      </c>
      <c r="AH60" s="4" t="str">
        <f>IF($Q$60=TRUE,"4.",IF(R60=TRUE,"5.",IF(S60=TRUE,"5.","")))</f>
        <v/>
      </c>
      <c r="AI60" s="4" t="str">
        <f>IF($Q$60=TRUE,"Produktet har en emisjonstest som viser at emisjoner av kreftfremkallende forbindelser (IARC) er under 0,005 mg/m²h ¹⁾  ²⁾",IF(R60=TRUE,"Krom",IF(S60=TRUE,"Krom","")))</f>
        <v/>
      </c>
      <c r="AJ60" s="4" t="str">
        <f>IF($Q$60=TRUE,"NS-EN 15251:2007 (Tillegg C)","")</f>
        <v/>
      </c>
      <c r="AK60" s="4" t="str">
        <f>IF($Q$60=TRUE,"5.",IF(R60=TRUE,"6.",IF(S60=TRUE,"6.","")))</f>
        <v/>
      </c>
      <c r="AL60" s="4" t="str">
        <f>IF($Q$60=TRUE,"Produktet har en emisjonstest som viser at misnøye med lukt er under 15%. Gjelder kun hvis relevant for produktet ¹⁾",IF(R60=TRUE,"Oktyl-/nonylfenoler",IF(S60=TRUE,"Oktyl-/nonylfenoler","")))</f>
        <v/>
      </c>
      <c r="AM60" s="4" t="str">
        <f>IF($Q$60=TRUE,"NS-EN 15251:2007 (Tillegg C)","")</f>
        <v/>
      </c>
      <c r="AN60" s="4" t="str">
        <f>IF($Q$60=TRUE,"6.",IF($R$60=TRUE,"7.",IF($S$60=TRUE,"7.","")))</f>
        <v/>
      </c>
      <c r="AO60" s="4" t="str">
        <f>IF($Q$60=TRUE,"Testene i punkt 1–5 er utført iht. ISO 16000-serien med målinger gjort etter 28 dager",IF($R$60=TRUE,"Bisfenol A ¹⁾",IF($S$60=TRUE,"Bisfenol A ¹⁾","")))</f>
        <v/>
      </c>
      <c r="AP60" s="4" t="str">
        <f>IF($Q$60=TRUE,"ISO 16000","")</f>
        <v/>
      </c>
      <c r="AQ60" s="4"/>
      <c r="AR60" s="4"/>
      <c r="AS60" s="4"/>
      <c r="AT60" s="4"/>
      <c r="AU60" s="4"/>
      <c r="AV60" s="4"/>
      <c r="AW60" s="4"/>
      <c r="AX60" s="4"/>
      <c r="AY60" s="4"/>
      <c r="AZ60" s="4" t="str">
        <f>IF(Q60=TRUE,"¹⁾ Under «Vanlig stilte spørsmål» på www.ngbc.no gis hjelp til å vurdere ulike kjente emisjonssertifikater opp mot kravene i NS-EN 15251.",IF(BC60=TRUE,"¹⁾ Gjelder bygningsplater i polykarbonat (all polykarbonat inneholder bisfenol A).",""))</f>
        <v/>
      </c>
      <c r="BA60" s="4" t="str">
        <f>IF(Q60=TRUE,"²⁾ Merk at emisjonene her er oppgitt i mg/m²h. De fleste emisjonssertifikater oppgir emisjoner i mg/m³. Det finnes en metode for å konvertere disse slik at man kan sammenligne resultater. Deres foretrukne laboratorium kan bistå dere med dette.","")</f>
        <v/>
      </c>
      <c r="BB60" s="4" t="str">
        <f>IF(Q60=TRUE,"³⁾ Merk at M1 er den eneste kjente emisjonsmerkeordningen der ammoniakk inngår som en av de emisjonene som måles.","")</f>
        <v/>
      </c>
      <c r="BC60" s="3" t="b">
        <f>OR(R60,S60)</f>
        <v>0</v>
      </c>
      <c r="BD60" s="3"/>
      <c r="BE60" s="3"/>
      <c r="BF60" s="3"/>
      <c r="BG60" s="3"/>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row>
    <row r="61" spans="1:124" s="2" customFormat="1" ht="15" hidden="1" customHeight="1">
      <c r="A61" s="3"/>
      <c r="B61" s="3"/>
      <c r="C61" s="3"/>
      <c r="D61" s="3"/>
      <c r="E61" s="3"/>
      <c r="F61" s="3"/>
      <c r="G61" s="3"/>
      <c r="H61" s="3"/>
      <c r="I61" s="3"/>
      <c r="J61" s="3"/>
      <c r="K61" s="3"/>
      <c r="L61" s="3"/>
      <c r="M61" s="3"/>
      <c r="N61" s="3"/>
      <c r="O61" s="2">
        <v>3</v>
      </c>
      <c r="P61" s="13" t="str">
        <f>IF(O46=2,"Tapet",IF(O46=3,"Halvharde gulvbelegg, tekstile gulvbelegg og laminatgulv",""))</f>
        <v/>
      </c>
      <c r="Q61" s="3" t="b">
        <f>IF($O$46=3,IF($O$58=3,TRUE,FALSE))</f>
        <v>0</v>
      </c>
      <c r="R61" s="3" t="b">
        <f>IF($O$46=2,IF($O$50=3,IF($O$58=3,TRUE,FALSE)))</f>
        <v>0</v>
      </c>
      <c r="S61" s="3" t="b">
        <f>IF($O$46=2,IF($O$50=2,IF($O$58=3,TRUE,FALSE)))</f>
        <v>0</v>
      </c>
      <c r="T61" s="7" t="str">
        <f>IF(Q61=TRUE,"halvharde gulvbelegg, tekstile gulvbelegg og laminatgulv",IF(R61=TRUE,"tapeter",IF(S61=TRUE,"tapeter","")))</f>
        <v/>
      </c>
      <c r="U61" s="7" t="str">
        <f>IF($Q$61=TRUE,"1.a",IF(R61=TRUE,"1.",IF(S61=TRUE,"1.","")))</f>
        <v/>
      </c>
      <c r="V61" s="7" t="str">
        <f>IF($Q$61=TRUE,"Produktet kan klassifiseres som E1 iht. testmetode EN 717-1:2004",IF(R61=TRUE,"Arsen",IF(S61=TRUE,"Arsen","")))</f>
        <v/>
      </c>
      <c r="W61" s="7" t="str">
        <f>IF($Q$61=TRUE,"EN 14041:2004
EN 717-1:2004","")</f>
        <v/>
      </c>
      <c r="X61" s="4" t="str">
        <f>IF($Q$61=TRUE,"1.b",IF(R61=TRUE,"2.",IF(S61=TRUE,"2.","")))</f>
        <v/>
      </c>
      <c r="Y61" s="4" t="str">
        <f>IF($Q$61=TRUE,"Undertegnede kan bekrefte at produktet ikke er tilsatt noen materialer som inneholder formaldehyd under produksjon eller ved bearbeiding etter produksjonen. Disse kan klassifiseres som E1 uten prøving",IF(R61=TRUE,"Bly",IF(S61=TRUE,"Bly","")))</f>
        <v/>
      </c>
      <c r="Z61" s="4" t="str">
        <f>IF($Q$61=TRUE,"Se EN 14041:2004 for detaljert informasjon om dette.","")</f>
        <v/>
      </c>
      <c r="AA61" s="3"/>
      <c r="AB61" s="4" t="str">
        <f>IF($Q$61=TRUE,"2.",IF(R61=TRUE,"3.",IF(S61=TRUE,"3.","")))</f>
        <v/>
      </c>
      <c r="AC61" s="4" t="str">
        <f>IF($Q$61=TRUE,"Produktet har en emisjonstest som viser at emisjoner av TVOC er under 0,2 mg/m²h ¹⁾  ²⁾",IF(R61=TRUE,"Bromerte flammehemmere (HBCDD, TBBPA)",IF(S61=TRUE,"Bromerte flammehemmere (HBCDD, TBBPA)","")))</f>
        <v/>
      </c>
      <c r="AD61" s="4" t="str">
        <f>IF($Q$61=TRUE,"NS-EN 15251:2007 (Tillegg C)","")</f>
        <v/>
      </c>
      <c r="AE61" s="4" t="str">
        <f>IF($Q$61=TRUE,"3.",IF(R61=TRUE,"4.",IF(S61=TRUE,"4.","")))</f>
        <v/>
      </c>
      <c r="AF61" s="4" t="str">
        <f>IF($Q$61=TRUE,"Produktet har ikke en emisjonstest som måler emisjoner av ammoniakk, men undertegnede kan bekrefte:
1)   at ammoniakk ikke er sporbart aktivt i produktet, OG
2)   at produktet ikke inneholder stoffer som kan avspaltes til ammoniakk",IF($R$61=TRUE,"Ftalat DEHP",IF($S$61=TRUE,"Ftalatene DEHP, BBP og DBP","")))</f>
        <v/>
      </c>
      <c r="AG61" s="4" t="str">
        <f>IF($Q$61=TRUE,"","")</f>
        <v/>
      </c>
      <c r="AH61" s="4" t="str">
        <f>IF($Q$61=TRUE,"4.a",IF(R61=TRUE,"5.",IF(S61=TRUE,"5.","")))</f>
        <v/>
      </c>
      <c r="AI61" s="4" t="str">
        <f>IF($Q$61=TRUE,"Produktet har en emisjonstest som viser at emisjoner av ammoniakk er under 0,03 mg/m²h ¹⁾  ²⁾  ³⁾",IF(R61=TRUE,"Mellomkjedede klorparafiner",IF(S61=TRUE,"Mellomkjedede klorparafiner","")))</f>
        <v/>
      </c>
      <c r="AJ61" s="4" t="str">
        <f>IF($Q$61=TRUE,"NS-EN 15251:2007 (Tillegg C)","")</f>
        <v/>
      </c>
      <c r="AK61" s="4" t="str">
        <f>IF($Q$61=TRUE,"4.b","")</f>
        <v/>
      </c>
      <c r="AL61" s="4" t="str">
        <f>IF($Q$61=TRUE,"Produktet har en emisjonstest som viser at misnøye med lukt er under 15%. Gjelder kun hvis relevant for produktet ¹⁾","")</f>
        <v/>
      </c>
      <c r="AM61" s="4" t="str">
        <f>IF($Q$61=TRUE,"NS-EN 15251:2007 (Tillegg C)","")</f>
        <v/>
      </c>
      <c r="AN61" s="4" t="str">
        <f>IF($Q$61=TRUE,"5.","")</f>
        <v/>
      </c>
      <c r="AO61" s="4" t="str">
        <f>IF($Q$61=TRUE,"Produktet har en emisjonstest som viser at emisjoner av kreftfremkallende forbindelser (IARC) er under 0,005 mg/m²h ¹⁾  ²⁾","")</f>
        <v/>
      </c>
      <c r="AP61" s="4" t="str">
        <f>IF($Q$61=TRUE,"NS-EN 15251:2007 (Tillegg C)","")</f>
        <v/>
      </c>
      <c r="AQ61" s="4" t="str">
        <f>IF($Q$61=TRUE,"6.","")</f>
        <v/>
      </c>
      <c r="AR61" s="4" t="str">
        <f>IF($Q$61=TRUE,"Produktet har en emisjonstest som viser at emisjoner av formaldehyd er under 0,05 mg/m²h ¹⁾  ²⁾","")</f>
        <v/>
      </c>
      <c r="AS61" s="4" t="str">
        <f>IF($Q$61=TRUE,"NS-EN 15251:2007 (Tillegg C)","")</f>
        <v/>
      </c>
      <c r="AT61" s="4" t="str">
        <f>IF($Q$61=TRUE,"7.","")</f>
        <v/>
      </c>
      <c r="AU61" s="4" t="str">
        <f>IF($Q$61=TRUE,"Testene i punkt 2–6 er utført iht. ISO 16000-serien med målinger gjort etter 28 dager","")</f>
        <v/>
      </c>
      <c r="AV61" s="4" t="str">
        <f>IF($Q$61=TRUE,"ISO 16000","")</f>
        <v/>
      </c>
      <c r="AW61" s="4" t="str">
        <f>IF($Q$61=TRUE,"8.","")</f>
        <v/>
      </c>
      <c r="AX61" s="4" t="str">
        <f>IF($Q$61=TRUE,"Undertegnede kan bekrefte fravær av regulerte impregneringsmidler og at minimumsnivå er overholdt","")</f>
        <v/>
      </c>
      <c r="AY61" s="4" t="str">
        <f>IF($Q$61=TRUE,"EN 14041:2004","")</f>
        <v/>
      </c>
      <c r="AZ61" s="4" t="str">
        <f>IF(Q61=TRUE,"¹⁾ Under «Vanlig stilte spørsmål» på www.ngbc.no gis hjelp til å vurdere ulike kjente emisjonssertifikater opp mot kravene i NS-EN 15251.","")</f>
        <v/>
      </c>
      <c r="BA61" s="4" t="str">
        <f>IF(Q61=TRUE,"²⁾ Merk at emisjonene her er oppgitt i mg/m²h. De fleste emisjonssertifikater oppgir emisjoner i mg/m³. Det finnes en metode for å konvertere disse slik at man kan sammenligne resultater. Deres foretrukne laboratorium kan bistå dere med dette.","")</f>
        <v/>
      </c>
      <c r="BB61" s="4" t="str">
        <f>IF(Q61=TRUE,"³⁾ Merk at M1 er den eneste kjente emisjonsmerkeordningen der ammoniakk inngår som en av de emisjonene som måles.","")</f>
        <v/>
      </c>
      <c r="BC61" s="3" t="b">
        <f t="shared" ref="BC61:BC67" si="0">OR(R61,S61)</f>
        <v>0</v>
      </c>
      <c r="BD61" s="3"/>
      <c r="BE61" s="3"/>
      <c r="BF61" s="3"/>
      <c r="BG61" s="3"/>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row>
    <row r="62" spans="1:124" s="2" customFormat="1" ht="15" hidden="1" customHeight="1">
      <c r="A62" s="3"/>
      <c r="B62" s="3"/>
      <c r="C62" s="3"/>
      <c r="D62" s="3"/>
      <c r="E62" s="3"/>
      <c r="F62" s="3"/>
      <c r="G62" s="3"/>
      <c r="H62" s="3"/>
      <c r="I62" s="3"/>
      <c r="J62" s="3"/>
      <c r="K62" s="3"/>
      <c r="L62" s="3"/>
      <c r="M62" s="3"/>
      <c r="N62" s="3"/>
      <c r="O62" s="2">
        <v>4</v>
      </c>
      <c r="P62" s="13" t="str">
        <f>IF(O46=2,"Tepper",IF(O46=3,"Gulvlim",""))</f>
        <v/>
      </c>
      <c r="Q62" s="3" t="b">
        <f>IF($O$46=3,IF($O$58=4,TRUE,FALSE))</f>
        <v>0</v>
      </c>
      <c r="R62" s="3" t="b">
        <f>IF($O$46=2,IF($O$50=3,IF($O$58=4,TRUE,FALSE)))</f>
        <v>0</v>
      </c>
      <c r="S62" s="3" t="b">
        <f>IF($O$46=2,IF($O$50=2,IF($O$58=4,TRUE,FALSE)))</f>
        <v>0</v>
      </c>
      <c r="T62" s="7" t="str">
        <f>IF(Q62=TRUE,"gulvlim",IF(R62=TRUE,"tepper",IF(S62=TRUE,"tepper","")))</f>
        <v/>
      </c>
      <c r="U62" s="7" t="str">
        <f>IF($Q$62=TRUE,"1.",IF(R62=TRUE,"1.",IF(S62=TRUE,"1.","")))</f>
        <v/>
      </c>
      <c r="V62" s="7" t="str">
        <f>IF($Q$62=TRUE,"Produktet har en emisjonstest som viser at emisjoner av TVOC er under 0,2 mg/m²h ¹⁾  ²⁾",IF(R62=TRUE,"PFOS/PFOA ¹⁾",IF(S62=TRUE,"PFOS/PFOA ¹⁾","")))</f>
        <v/>
      </c>
      <c r="W62" s="7" t="str">
        <f>IF($Q$62=TRUE,"NS-EN 15251:2007 (Tillegg C)","")</f>
        <v/>
      </c>
      <c r="X62" s="4" t="str">
        <f>IF($Q$62=TRUE,"2.","")</f>
        <v/>
      </c>
      <c r="Y62" s="4" t="str">
        <f>IF($Q$62=TRUE,"Produktet har en emisjonstest som viser at emisjoner av formaldehyd er under 0,05 mg/m²h ¹⁾  ²⁾","")</f>
        <v/>
      </c>
      <c r="Z62" s="4" t="str">
        <f>IF($Q$62=TRUE,"NS-EN 15251:2007 (Tillegg C)","")</f>
        <v/>
      </c>
      <c r="AA62" s="3"/>
      <c r="AB62" s="4" t="str">
        <f>IF($Q$62=TRUE,"3.a","")</f>
        <v/>
      </c>
      <c r="AC62" s="4" t="str">
        <f>IF($Q$62=TRUE,"Produktet har en emisjonstest som viser at emisjoner av ammoniakk er under 0,03 mg/m²h ¹⁾  ²⁾  ³⁾","")</f>
        <v/>
      </c>
      <c r="AD62" s="4" t="str">
        <f>IF($Q$62=TRUE,"NS-EN 15251:2007 (Tillegg C)","")</f>
        <v/>
      </c>
      <c r="AE62" s="4" t="str">
        <f>IF($Q$62=TRUE,"3.b","")</f>
        <v/>
      </c>
      <c r="AF62" s="4" t="str">
        <f>IF($Q$62=TRUE,"Produktet har ikke en emisjonstest som måler emisjoner av ammoniakk, men undertegnede kan bekrefte:
1)   at ammoniakk ikke er sporbart aktivt i produktet, OG
2)   at produktet ikke inneholder stoffer som kan avspaltes til ammoniakk","")</f>
        <v/>
      </c>
      <c r="AG62" s="4" t="str">
        <f>IF($Q$62=TRUE,"","")</f>
        <v/>
      </c>
      <c r="AH62" s="4" t="str">
        <f>IF($Q$62=TRUE,"4.","")</f>
        <v/>
      </c>
      <c r="AI62" s="4" t="str">
        <f>IF($Q$62=TRUE,"Produktet har en emisjonstest som viser at emisjoner av kreftfremkallende forbindelser (IARC) er under 0,005 mg/m²h ¹⁾  ²⁾","")</f>
        <v/>
      </c>
      <c r="AJ62" s="4" t="str">
        <f>IF($Q$62=TRUE,"NS-EN 15251:2007 (Tillegg C)","")</f>
        <v/>
      </c>
      <c r="AK62" s="4" t="str">
        <f>IF($Q$62=TRUE,"5.","")</f>
        <v/>
      </c>
      <c r="AL62" s="4" t="str">
        <f>IF($Q$62=TRUE,"Produktet har en emisjonstest som viser at misnøye med lukt er under 15%. Gjelder kun hvis relevant for produktet ¹⁾","")</f>
        <v/>
      </c>
      <c r="AM62" s="4" t="str">
        <f>IF($Q$62=TRUE,"NS-EN 15251:2007 (Tillegg C)","")</f>
        <v/>
      </c>
      <c r="AN62" s="4" t="str">
        <f>IF($Q$62=TRUE,"6.","")</f>
        <v/>
      </c>
      <c r="AO62" s="4" t="str">
        <f>IF($Q$62=TRUE,"Testene i punkt 1-5 er utført iht. ISO 16000-serien med målinger gjort etter 28 dager","")</f>
        <v/>
      </c>
      <c r="AP62" s="4" t="str">
        <f>IF($Q$62=TRUE,"ISO 16000","")</f>
        <v/>
      </c>
      <c r="AQ62" s="4" t="str">
        <f>IF($Q$62=TRUE,"7.","")</f>
        <v/>
      </c>
      <c r="AR62" s="4" t="str">
        <f>IF($Q$62=TRUE,"Produktet har utført tester iht. følgende standarder, og kan bekrefte fravær av kreft- og allergifremkallende stoffer:
-  EN 13999-2:2007 – VOC
-  EN 13999-3:2007 – Flyktige aldehyder
-  EN 13999-4:2007 – Flyktige diisocyanater","")</f>
        <v/>
      </c>
      <c r="AS62" s="4" t="str">
        <f>IF($Q$62=TRUE,"EN 13999-1 :2007
EN 13999-2:2007
EN 13999-3:2007
EN 13999-4:2007","")</f>
        <v/>
      </c>
      <c r="AT62" s="4"/>
      <c r="AU62" s="4"/>
      <c r="AV62" s="4"/>
      <c r="AW62" s="4"/>
      <c r="AX62" s="4"/>
      <c r="AY62" s="4"/>
      <c r="AZ62" s="4" t="str">
        <f>IF(Q62=TRUE,"¹⁾ Under «Vanlig stilte spørsmål» på www.ngbc.no gis hjelp til å vurdere ulike kjente emisjonssertifikater opp mot kravene i NS-EN 15251.","")</f>
        <v/>
      </c>
      <c r="BA62" s="4" t="str">
        <f>IF(Q62=TRUE,"²⁾ Merk at emisjonene her er oppgitt i mg/m²h. De fleste emisjonssertifikater oppgir emisjoner i mg/m³. Det finnes en metode for å konvertere disse slik at man kan sammenligne resultater. Deres foretrukne laboratorium kan bistå dere med dette.","")</f>
        <v/>
      </c>
      <c r="BB62" s="4" t="str">
        <f>IF(Q62=TRUE,"³⁾ Merk at M1 er den eneste kjente emisjonsmerkeordningen der ammoniakk inngår som en av de emisjonene som måles.","")</f>
        <v/>
      </c>
      <c r="BC62" s="3" t="b">
        <f t="shared" si="0"/>
        <v>0</v>
      </c>
      <c r="BD62" s="3"/>
      <c r="BE62" s="3"/>
      <c r="BF62" s="3"/>
      <c r="BG62" s="3"/>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row>
    <row r="63" spans="1:124" s="2" customFormat="1" ht="15" hidden="1" customHeight="1">
      <c r="A63" s="3"/>
      <c r="B63" s="3"/>
      <c r="C63" s="3"/>
      <c r="D63" s="3"/>
      <c r="E63" s="3"/>
      <c r="F63" s="3"/>
      <c r="G63" s="3"/>
      <c r="H63" s="3"/>
      <c r="I63" s="3"/>
      <c r="J63" s="3"/>
      <c r="K63" s="3"/>
      <c r="L63" s="5"/>
      <c r="M63" s="5"/>
      <c r="N63" s="3"/>
      <c r="O63" s="2">
        <v>5</v>
      </c>
      <c r="P63" s="13" t="str">
        <f>IF(O46=2,"Trevirke",IF(O46=3,"Himlingsplater",""))</f>
        <v/>
      </c>
      <c r="Q63" s="3" t="b">
        <f>IF($O$46=3,IF($O$58=5,TRUE,FALSE))</f>
        <v>0</v>
      </c>
      <c r="R63" s="3" t="b">
        <f>IF($O$46=2,IF($O$50=3,IF($O$58=5,TRUE,FALSE)))</f>
        <v>0</v>
      </c>
      <c r="S63" s="3" t="b">
        <f>IF($O$46=2,IF($O$50=2,IF($O$58=5,TRUE,FALSE)))</f>
        <v>0</v>
      </c>
      <c r="T63" s="7" t="str">
        <f>IF(Q63=TRUE,"himlingsplater",IF(R63=TRUE,"trevirke",IF(S63=TRUE,"trevirke","")))</f>
        <v/>
      </c>
      <c r="U63" s="7" t="str">
        <f>IF($Q$63=TRUE,"1.a",IF(R63=TRUE,"1.",IF(S63=TRUE,"1.","")))</f>
        <v/>
      </c>
      <c r="V63" s="7" t="str">
        <f>IF($Q$63=TRUE,"Produktet kan klassifiseres som E1 iht. testmetode EN 717-1:2004",IF($R$63=TRUE,"Kreosot (PAH) ¹⁾",IF($S$63=TRUE,"Kreosot ¹⁾","")))</f>
        <v/>
      </c>
      <c r="W63" s="7" t="str">
        <f>IF($Q$63=TRUE,"EN 13964:2004
EN 717-1:2004","")</f>
        <v/>
      </c>
      <c r="X63" s="4" t="str">
        <f>IF($Q$63=TRUE,"1.b","")</f>
        <v/>
      </c>
      <c r="Y63" s="4" t="str">
        <f>IF($Q$63=TRUE,"Undertegnede kan bekrefte at produktet ikke er tilsatt noen materialer som inneholder formaldehyd under produksjon eller ved bearbeiding etter produksjonen. Disse kan klassifiseres som E1 uten prøving","")</f>
        <v/>
      </c>
      <c r="Z63" s="4" t="str">
        <f>IF($Q$63=TRUE,"Se NS-EN 13964:2004 for detaljert informasjon om dette","")</f>
        <v/>
      </c>
      <c r="AA63" s="3"/>
      <c r="AB63" s="4" t="str">
        <f>IF($Q$63=TRUE,"2.","")</f>
        <v/>
      </c>
      <c r="AC63" s="4" t="str">
        <f>IF($Q$63=TRUE,"Produktet har en emisjonstest som viser at emisjoner av TVOC er under 0,2 mg/m²h ¹⁾  ²⁾","")</f>
        <v/>
      </c>
      <c r="AD63" s="4" t="str">
        <f>IF($Q$63=TRUE,"NS-EN 15251:2007 (Tillegg C)","")</f>
        <v/>
      </c>
      <c r="AE63" s="4" t="str">
        <f>IF($Q$63=TRUE,"3.","")</f>
        <v/>
      </c>
      <c r="AF63" s="4" t="str">
        <f>IF($Q$63=TRUE,"Produktet har ikke en emisjonstest som måler emisjoner av ammoniakk, men undertegnede kan bekrefte:
1)   at ammoniakk ikke er sporbart aktivt i produktet, OG
2)   at produktet ikke inneholder stoffer som kan avspaltes til ammoniakk","")</f>
        <v/>
      </c>
      <c r="AG63" s="4" t="str">
        <f>IF($Q$63=TRUE,"","")</f>
        <v/>
      </c>
      <c r="AH63" s="4" t="str">
        <f>IF($Q$63=TRUE,"4.a","")</f>
        <v/>
      </c>
      <c r="AI63" s="4" t="str">
        <f>IF($Q$63=TRUE,"Produktet har en emisjonstest som viser at emisjoner av ammoniakk er under 0,03 mg/m²h ¹⁾  ²⁾  ³⁾","")</f>
        <v/>
      </c>
      <c r="AJ63" s="4" t="str">
        <f>IF($Q$63=TRUE,"NS-EN 15251:2007 (Tillegg C)","")</f>
        <v/>
      </c>
      <c r="AK63" s="4" t="str">
        <f>IF($Q$63=TRUE,"4.b","")</f>
        <v/>
      </c>
      <c r="AL63" s="4" t="str">
        <f>IF($Q$63=TRUE,"Produktet har en emisjonstest som viser at misnøye med lukt er under 15%. Gjelder kun hvis relevant for produktet ¹⁾","")</f>
        <v/>
      </c>
      <c r="AM63" s="4" t="str">
        <f>IF($Q$63=TRUE,"NS-EN 15251:2007 (Tillegg C)","")</f>
        <v/>
      </c>
      <c r="AN63" s="4" t="str">
        <f>IF($Q$63=TRUE,"5.","")</f>
        <v/>
      </c>
      <c r="AO63" s="4" t="str">
        <f>IF($Q$63=TRUE,"Produktet har en emisjonstest som viser at emisjoner av kreftfremkallende forbindelser (IARC) er under 0,005 mg/m²h ¹⁾  ²⁾","")</f>
        <v/>
      </c>
      <c r="AP63" s="4" t="str">
        <f>IF($Q$63=TRUE,"NS-EN 15251:2007 (Tillegg C)","")</f>
        <v/>
      </c>
      <c r="AQ63" s="4" t="str">
        <f>IF($Q$63=TRUE,"6.","")</f>
        <v/>
      </c>
      <c r="AR63" s="4" t="str">
        <f>IF($Q$63=TRUE,"Produktet har en emisjonstest som viser at emisjoner av formaldehyd er under 0,05 mg/m²h ¹⁾  ²⁾","")</f>
        <v/>
      </c>
      <c r="AS63" s="4" t="str">
        <f>IF($Q$63=TRUE,"NS-EN 15251:2007 (Tillegg C)","")</f>
        <v/>
      </c>
      <c r="AT63" s="4" t="str">
        <f>IF($Q$63=TRUE,"7.","")</f>
        <v/>
      </c>
      <c r="AU63" s="4" t="str">
        <f>IF($Q$63=TRUE,"Testene i punkt 2–6 er utført iht. ISO 16000-serien med målinger gjort etter 28 dager","")</f>
        <v/>
      </c>
      <c r="AV63" s="4" t="str">
        <f>IF($Q$63=TRUE,"ISO 16000","")</f>
        <v/>
      </c>
      <c r="AW63" s="4" t="str">
        <f>IF($Q$63=TRUE,"8.","")</f>
        <v/>
      </c>
      <c r="AX63" s="4" t="str">
        <f>IF($Q$63=TRUE,"Undertegnede kan bekrefte at produktet ikke inneholder asbest","")</f>
        <v/>
      </c>
      <c r="AY63" s="4" t="str">
        <f>IF($Q$63=TRUE,"NS-EN 13964:2004","")</f>
        <v/>
      </c>
      <c r="AZ63" s="4" t="str">
        <f>IF(Q63=TRUE,"¹⁾ Under «Vanlig stilte spørsmål» på www.ngbc.no gis hjelp til å vurdere ulike kjente emisjonssertifikater opp mot kravene i NS-EN 15251.",IF(BC63=TRUE,"¹⁾ Arsen og krom er forbudt",""))</f>
        <v/>
      </c>
      <c r="BA63" s="4" t="str">
        <f>IF(Q63=TRUE,"²⁾ Merk at emisjonene her er oppgitt i mg/m²h. De fleste emisjonssertifikater oppgir emisjoner i mg/m³. Det finnes en metode for å konvertere disse slik at man kan sammenligne resultater. Deres foretrukne laboratorium kan bistå dere med dette.","")</f>
        <v/>
      </c>
      <c r="BB63" s="4" t="str">
        <f>IF(Q63=TRUE,"³⁾ Merk at M1 er den eneste kjente emisjonsmerkeordningen der ammoniakk inngår som en av de emisjonene som måles.","")</f>
        <v/>
      </c>
      <c r="BC63" s="3" t="b">
        <f t="shared" si="0"/>
        <v>0</v>
      </c>
      <c r="BD63" s="3"/>
      <c r="BE63" s="3"/>
      <c r="BF63" s="3"/>
      <c r="BG63" s="3"/>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row>
    <row r="64" spans="1:124" s="2" customFormat="1" ht="15" hidden="1" customHeight="1">
      <c r="A64" s="3"/>
      <c r="B64" s="3"/>
      <c r="C64" s="3"/>
      <c r="D64" s="8"/>
      <c r="E64" s="8"/>
      <c r="F64" s="8"/>
      <c r="G64" s="8"/>
      <c r="H64" s="8"/>
      <c r="I64" s="8"/>
      <c r="J64" s="3"/>
      <c r="K64" s="3"/>
      <c r="L64" s="9"/>
      <c r="M64" s="9"/>
      <c r="N64" s="3"/>
      <c r="O64" s="2">
        <v>6</v>
      </c>
      <c r="P64" s="13" t="str">
        <f>IF(O46=2,"Vinduer og ytterdører",IF(O46=3,"Trekonstruksjoner",""))</f>
        <v/>
      </c>
      <c r="Q64" s="3" t="b">
        <f>IF($O$46=3,IF($O$58=6,TRUE,FALSE))</f>
        <v>0</v>
      </c>
      <c r="R64" s="3" t="b">
        <f>IF($O$46=2,IF($O$50=3,IF($O$58=6,TRUE,FALSE)))</f>
        <v>0</v>
      </c>
      <c r="S64" s="3" t="b">
        <f>IF($O$46=2,IF($O$50=2,IF($O$58=6,TRUE,FALSE)))</f>
        <v>0</v>
      </c>
      <c r="T64" s="7" t="str">
        <f>IF(Q64=TRUE,"trekonstruksjoner",IF(R64=TRUE,"vinduer og ytterdører",IF(S64=TRUE,"vinduer og ytterdører","")))</f>
        <v/>
      </c>
      <c r="U64" s="7" t="str">
        <f>IF($Q$64=TRUE,"1.a",IF(R64=TRUE,"1.",IF(S64=TRUE,"1.","")))</f>
        <v/>
      </c>
      <c r="V64" s="7" t="str">
        <f>IF($Q$64=TRUE,"Produktet kan klassifiseres som E1 iht. testmetode EN 717-1:2004",IF($R$64=TRUE,"PFOS/PFOA",IF($S$64=TRUE,"PFOS/PFOA ¹⁾","")))</f>
        <v/>
      </c>
      <c r="W64" s="7" t="str">
        <f>IF($Q$64=TRUE,"EN 14080:2005
EN 717-1:2004","")</f>
        <v/>
      </c>
      <c r="X64" s="4" t="str">
        <f>IF($Q$64=TRUE,"1.b",IF(R64=TRUE,"2.",IF(S64=TRUE,"2.","")))</f>
        <v/>
      </c>
      <c r="Y64" s="4" t="str">
        <f>IF($Q$64=TRUE,"Undertegnede kan bekrefte at produktet ikke er tilsatt noen materialer som inneholder formaldehyd under produksjon eller ved bearbeiding etter produksjonen. Disse kan klassifiseres som E1 uten prøving",IF(R64=TRUE,"Bromerte flammehemmere (HBCDD, TBBPA)",IF(S64=TRUE,"Bromerte flammehemmere (HBCDD, TBBPA)","")))</f>
        <v/>
      </c>
      <c r="Z64" s="4" t="str">
        <f>IF($Q$64=TRUE,"Se NS-EN 14080:2005 for detaljert informasjon om dette","")</f>
        <v/>
      </c>
      <c r="AA64" s="3"/>
      <c r="AB64" s="4" t="str">
        <f>IF($Q$64=TRUE,"2.",IF(R64=TRUE,"3.",IF(S64=TRUE,"3.","")))</f>
        <v/>
      </c>
      <c r="AC64" s="4" t="str">
        <f>IF($Q$64=TRUE,"Produktet har en emisjonstest som viser at emisjoner av TVOC er under 0,2 mg/m²h ¹⁾  ²⁾",IF($R$64=TRUE,"Ftalat DEHP",IF($S$64=TRUE,"Ftalatene DEHP, BBP og DBP","")))</f>
        <v/>
      </c>
      <c r="AD64" s="4" t="str">
        <f>IF($Q$64=TRUE,"NS-EN 15251:2007 (Tillegg C)","")</f>
        <v/>
      </c>
      <c r="AE64" s="4" t="str">
        <f>IF($Q$64=TRUE,"3.",IF(R64=TRUE,"4.",IF(S64=TRUE,"4.","")))</f>
        <v/>
      </c>
      <c r="AF64" s="4" t="str">
        <f>IF($Q$64=TRUE,"Produktet har ikke en emisjonstest som måler emisjoner av ammoniakk, men undertegnede kan bekrefte:
1)   at ammoniakk ikke er sporbart aktivt i produktet, OG
2)   at produktet ikke inneholder stoffer som kan avspaltes til ammoniakk",IF(R64=TRUE,"Klorparafiner",IF(S64=TRUE,"Klorparafiner","")))</f>
        <v/>
      </c>
      <c r="AG64" s="4" t="str">
        <f>IF($Q$64=TRUE,"","")</f>
        <v/>
      </c>
      <c r="AH64" s="4" t="str">
        <f>IF($Q$64=TRUE,"4.a",IF(R64=TRUE,"5.",IF(S64=TRUE,"5.","")))</f>
        <v/>
      </c>
      <c r="AI64" s="4" t="str">
        <f>IF($Q$64=TRUE,"Produktet har en emisjonstest som viser at emisjoner av ammoniakk er under 0,03 mg/m²h ¹⁾  ²⁾  ³⁾",IF(R64=TRUE,"Oktyl-/nonylfenoler",IF(S64=TRUE,"Oktyl-/nonylfenoler","")))</f>
        <v/>
      </c>
      <c r="AJ64" s="4" t="str">
        <f>IF($Q$64=TRUE,"NS-EN 15251:2007 (Tillegg C)","")</f>
        <v/>
      </c>
      <c r="AK64" s="4" t="str">
        <f>IF($Q$64=TRUE,"4.b",IF(R64=TRUE,"6.",IF(S64=TRUE,"6.","")))</f>
        <v/>
      </c>
      <c r="AL64" s="4" t="str">
        <f>IF($Q$64=TRUE,"Produktet har en emisjonstest som viser at misnøye med lukt er under 15%. Gjelder kun hvis relevant for produktet ¹⁾",IF(R64=TRUE,"Bisfenol A",IF(S64=TRUE,"Bisfenol A","")))</f>
        <v/>
      </c>
      <c r="AM64" s="4" t="str">
        <f>IF($Q$64=TRUE,"NS-EN 15251:2007 (Tillegg C)","")</f>
        <v/>
      </c>
      <c r="AN64" s="4" t="str">
        <f>IF($Q$64=TRUE,"5.","")</f>
        <v/>
      </c>
      <c r="AO64" s="4" t="str">
        <f>IF($Q$64=TRUE,"Produktet har en emisjonstest som viser at emisjoner av kreftfremkallende forbindelser (IARC) er under 0,005 mg/m²h ¹⁾  ²⁾","")</f>
        <v/>
      </c>
      <c r="AP64" s="4" t="str">
        <f>IF($Q$64=TRUE,"NS-EN 15251:2007 (Tillegg C)","")</f>
        <v/>
      </c>
      <c r="AQ64" s="4" t="str">
        <f>IF($Q$64=TRUE,"6.","")</f>
        <v/>
      </c>
      <c r="AR64" s="4" t="str">
        <f>IF($Q$64=TRUE,"Produktet har en emisjonstest som viser at emisjoner av formaldehyd er under 0,05 mg/m²h ¹⁾  ²⁾","")</f>
        <v/>
      </c>
      <c r="AS64" s="4" t="str">
        <f>IF($Q$64=TRUE,"NS-EN 15251:2007 (Tillegg C)","")</f>
        <v/>
      </c>
      <c r="AT64" s="4" t="str">
        <f>IF($Q$64=TRUE,"7.","")</f>
        <v/>
      </c>
      <c r="AU64" s="4" t="str">
        <f>IF($Q$64=TRUE,"Testene i punkt 2–6 er utført iht. ISO 16000-serien med målinger gjort etter 28 dager","")</f>
        <v/>
      </c>
      <c r="AV64" s="4" t="str">
        <f>IF($Q$64=TRUE,"ISO 16000","")</f>
        <v/>
      </c>
      <c r="AW64" s="4"/>
      <c r="AX64" s="4"/>
      <c r="AY64" s="4"/>
      <c r="AZ64" s="4" t="str">
        <f>IF(Q64=TRUE,"¹⁾ Under «Vanlig stilte spørsmål» på www.ngbc.no gis hjelp til å vurdere ulike kjente emisjonssertifikater opp mot kravene i NS-EN 15251.","")</f>
        <v/>
      </c>
      <c r="BA64" s="4" t="str">
        <f>IF(Q64=TRUE,"²⁾ Merk at emisjonene her er oppgitt i mg/m²h. De fleste emisjonssertifikater oppgir emisjoner i mg/m³. Det finnes en metode for å konvertere disse slik at man kan sammenligne resultater. Deres foretrukne laboratorium kan bistå dere med dette.","")</f>
        <v/>
      </c>
      <c r="BB64" s="4" t="str">
        <f>IF(Q64=TRUE,"³⁾ Merk at M1 er den eneste kjente emisjonsmerkeordningen der ammoniakk inngår som en av de emisjonene som måles.","")</f>
        <v/>
      </c>
      <c r="BC64" s="3" t="b">
        <f>OR(R64,S64)</f>
        <v>0</v>
      </c>
      <c r="BD64" s="3"/>
      <c r="BE64" s="3"/>
      <c r="BF64" s="3"/>
      <c r="BG64" s="3"/>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row>
    <row r="65" spans="1:124" s="2" customFormat="1" ht="15" hidden="1" customHeight="1">
      <c r="A65" s="3"/>
      <c r="B65" s="3"/>
      <c r="C65" s="3"/>
      <c r="D65" s="8"/>
      <c r="E65" s="8"/>
      <c r="F65" s="8"/>
      <c r="G65" s="8"/>
      <c r="H65" s="8"/>
      <c r="I65" s="8"/>
      <c r="J65" s="3"/>
      <c r="K65" s="9"/>
      <c r="L65" s="9"/>
      <c r="M65" s="9"/>
      <c r="N65" s="3"/>
      <c r="O65" s="2">
        <v>7</v>
      </c>
      <c r="P65" s="13" t="str">
        <f>IF(O46=2,"Vinyl gulvbelegg",IF(O46=3,"Maling og lakk",""))</f>
        <v/>
      </c>
      <c r="Q65" s="3" t="b">
        <f>IF($O$46=3,IF($O$58=7,TRUE,FALSE))</f>
        <v>0</v>
      </c>
      <c r="R65" s="3" t="b">
        <f>IF($O$46=2,IF($O$50=3,IF($O$58=7,TRUE,FALSE)))</f>
        <v>0</v>
      </c>
      <c r="S65" s="3" t="b">
        <f>IF($O$46=2,IF($O$50=2,IF($O$58=7,TRUE,FALSE)))</f>
        <v>0</v>
      </c>
      <c r="T65" s="7" t="str">
        <f>IF(Q65=TRUE,"maling og lakk",IF(R65=TRUE,"vinyl gulvbelegg",IF(S65=TRUE,"vinyl gulvbelegg","")))</f>
        <v/>
      </c>
      <c r="U65" s="7" t="str">
        <f>IF($Q$65=TRUE,"1.",IF(R65=TRUE,"1.",IF(S65=TRUE,"1.","")))</f>
        <v/>
      </c>
      <c r="V65" s="7" t="str">
        <f>IF($Q$65=TRUE,"Emisjonstestene av maling er utført iht. ISO 16000-9 eller ISO 16000-10, og emisjonene som er oppgitt er fra målinger gjort etter 3 døgn",IF(R65=TRUE,"Bly",IF(S65=TRUE,"Bly","")))</f>
        <v/>
      </c>
      <c r="W65" s="7" t="str">
        <f>IF($Q$65=TRUE,"","")</f>
        <v/>
      </c>
      <c r="X65" s="4" t="str">
        <f>IF($Q$65=TRUE,"2.",IF($R$65=TRUE,"2.",IF(S65=TRUE,"2.","")))</f>
        <v/>
      </c>
      <c r="Y65" s="4" t="str">
        <f>IF($Q$65=TRUE,"Malingen/lakken tilfredsstiller VOC-direktivet: Directive 2004/42/CE",IF(R65=TRUE,"Bromerte flammehemmere (HBCD, TBBPA)",IF(S65=TRUE,"Bromerte flammehemmere (HBCD, TBBPA)","")))</f>
        <v/>
      </c>
      <c r="Z65" s="4" t="str">
        <f>IF($Q$64=TRUE,"","")</f>
        <v/>
      </c>
      <c r="AA65" s="3"/>
      <c r="AB65" s="4" t="str">
        <f>IF(R65=TRUE,"3.",IF(S65=TRUE,"3.",""))</f>
        <v/>
      </c>
      <c r="AC65" s="4" t="str">
        <f>IF($R$65=TRUE,"Ftalat DEHP",IF($S$65=TRUE,"Ftalatene DEHP, BBP og DBP",""))</f>
        <v/>
      </c>
      <c r="AD65" s="4"/>
      <c r="AE65" s="4" t="str">
        <f>IF(R65=TRUE,"4.",IF(S65=TRUE,"4.",""))</f>
        <v/>
      </c>
      <c r="AF65" s="4" t="str">
        <f>IF(R65=TRUE,"Bisfenol A",IF(S65=TRUE,"Bisfenol A",""))</f>
        <v/>
      </c>
      <c r="AG65" s="4"/>
      <c r="AH65" s="4" t="str">
        <f>IF($R$65=TRUE,"5.",IF(S65=TRUE,"5.",""))</f>
        <v/>
      </c>
      <c r="AI65" s="4" t="str">
        <f>IF(R65=TRUE,"Mellomkjedede klorparafiner ¹⁾",IF(S65=TRUE,"Mellomkjedede klorparafiner ¹⁾",""))</f>
        <v/>
      </c>
      <c r="AJ65" s="4"/>
      <c r="AK65" s="4" t="str">
        <f>IF($R$65=TRUE,"6.","")</f>
        <v/>
      </c>
      <c r="AL65" s="4" t="str">
        <f>IF($R$65=TRUE,"Tris(2-kloretyl)fosfat (TCEP)","")</f>
        <v/>
      </c>
      <c r="AM65" s="4"/>
      <c r="AN65" s="4"/>
      <c r="AO65" s="4"/>
      <c r="AP65" s="4"/>
      <c r="AQ65" s="4"/>
      <c r="AR65" s="4"/>
      <c r="AS65" s="4"/>
      <c r="AT65" s="4"/>
      <c r="AU65" s="4"/>
      <c r="AV65" s="4"/>
      <c r="AW65" s="4"/>
      <c r="AX65" s="4"/>
      <c r="AY65" s="4"/>
      <c r="AZ65" s="4" t="str">
        <f>IF(BC65=TRUE,"¹⁾ Kortkjedede parafiner er forbudt","")</f>
        <v/>
      </c>
      <c r="BA65" s="4"/>
      <c r="BB65" s="4"/>
      <c r="BC65" s="3" t="b">
        <f t="shared" si="0"/>
        <v>0</v>
      </c>
      <c r="BD65" s="3"/>
      <c r="BE65" s="3"/>
      <c r="BF65" s="3"/>
      <c r="BG65" s="3"/>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row>
    <row r="66" spans="1:124" s="2" customFormat="1" ht="15" hidden="1" customHeight="1">
      <c r="A66" s="3"/>
      <c r="B66" s="3"/>
      <c r="C66" s="3"/>
      <c r="D66" s="8"/>
      <c r="E66" s="8"/>
      <c r="F66" s="8"/>
      <c r="G66" s="8"/>
      <c r="H66" s="8"/>
      <c r="I66" s="8"/>
      <c r="J66" s="3"/>
      <c r="K66" s="9"/>
      <c r="L66" s="9"/>
      <c r="M66" s="9"/>
      <c r="N66" s="3"/>
      <c r="O66" s="2">
        <v>8</v>
      </c>
      <c r="P66" s="13" t="str">
        <f>IF(O46=2,"XPS, EPS og cellegummi",IF(O46=3,"Tregulv og parkett",""))</f>
        <v/>
      </c>
      <c r="Q66" s="3" t="b">
        <f>IF($O$46=3,IF($O$58=8,TRUE,FALSE))</f>
        <v>0</v>
      </c>
      <c r="R66" s="3" t="b">
        <f>IF($O$46=2,IF($O$50=3,IF($O$58=8,TRUE,FALSE)))</f>
        <v>0</v>
      </c>
      <c r="S66" s="3" t="b">
        <f>IF($O$46=2,IF($O$50=2,IF($O$58=8,TRUE,FALSE)))</f>
        <v>0</v>
      </c>
      <c r="T66" s="7" t="str">
        <f>IF(Q66=TRUE,"tregulv og parkett",IF(R66=TRUE,"XPS, EPS og cellegummi",IF(S66=TRUE,"XPS, EPS og cellegummi","")))</f>
        <v/>
      </c>
      <c r="U66" s="7" t="str">
        <f>IF($Q$66=TRUE,"1.a",IF(R66=TRUE,"1.",IF(S66=TRUE,"1.","")))</f>
        <v/>
      </c>
      <c r="V66" s="7" t="str">
        <f>IF($Q$66=TRUE,"Produktet kan klassifiseres som E1 iht. testmetode EN 717-1:2004",IF(R66=TRUE,"Bromerte flammehemmere (HBCDD, TBBPA) ¹⁾",IF(S66=TRUE,"Flammehemmerne HBCDD, TBBPA ¹⁾","")))</f>
        <v/>
      </c>
      <c r="W66" s="7" t="str">
        <f>IF($Q$66=TRUE,"EN 14342:2005
EN 717-1:2004","")</f>
        <v/>
      </c>
      <c r="X66" s="4" t="str">
        <f>IF($Q$66=TRUE,"1.b","")</f>
        <v/>
      </c>
      <c r="Y66" s="4" t="str">
        <f>IF($Q$66=TRUE,"Undertegnede kan bekrefte at produktet ikke er tilsatt noen materialer som inneholder formaldehyd under produksjon eller ved bearbeiding etter produksjonen. Disse kan klassifiseres som E1 uten prøving","")</f>
        <v/>
      </c>
      <c r="Z66" s="4" t="str">
        <f>IF($Q$66=TRUE,"Se NS-EN 14342:2005 for detaljert informasjon om dette.","")</f>
        <v/>
      </c>
      <c r="AA66" s="3"/>
      <c r="AB66" s="4" t="str">
        <f>IF($Q$66=TRUE,"2.","")</f>
        <v/>
      </c>
      <c r="AC66" s="4" t="str">
        <f>IF($Q$66=TRUE,"Produktet har en emisjonstest som viser at emisjoner av TVOC er under 0,2 mg/m²h ¹⁾  ²⁾","")</f>
        <v/>
      </c>
      <c r="AD66" s="4" t="str">
        <f>IF($Q$66=TRUE,"NS-EN 15251:2007 (Tillegg C)","")</f>
        <v/>
      </c>
      <c r="AE66" s="4" t="str">
        <f>IF($Q$66=TRUE,"3.","")</f>
        <v/>
      </c>
      <c r="AF66" s="4" t="str">
        <f>IF($Q$66=TRUE,"Produktet har ikke en emisjonstest som måler emisjoner av ammoniakk, men undertegnede kan bekrefte:
1)   at ammoniakk ikke er sporbart aktivt i produktet, OG
2)   at produktet ikke inneholder stoffer som kan avspaltes til ammoniakk","")</f>
        <v/>
      </c>
      <c r="AG66" s="4" t="str">
        <f>IF($Q$66=TRUE,"","")</f>
        <v/>
      </c>
      <c r="AH66" s="4" t="str">
        <f>IF($Q$66=TRUE,"4.a","")</f>
        <v/>
      </c>
      <c r="AI66" s="4" t="str">
        <f>IF($Q$66=TRUE,"Produktet har en emisjonstest som viser at emisjoner av ammoniakk er under 0,03 mg/m²h ¹⁾  ²⁾  ³⁾","")</f>
        <v/>
      </c>
      <c r="AJ66" s="4" t="str">
        <f>IF($Q$66=TRUE,"NS-EN 15251:2007 (Tillegg C)","")</f>
        <v/>
      </c>
      <c r="AK66" s="4" t="str">
        <f>IF($Q$66=TRUE,"4.b","")</f>
        <v/>
      </c>
      <c r="AL66" s="4" t="str">
        <f>IF($Q$66=TRUE,"Produktet har en emisjonstest som viser at misnøye med lukt er under 15%. Gjelder kun hvis relevant for produktet ¹⁾","")</f>
        <v/>
      </c>
      <c r="AM66" s="4" t="str">
        <f>IF($Q$66=TRUE,"NS-EN 15251:2007 (Tillegg C)","")</f>
        <v/>
      </c>
      <c r="AN66" s="4" t="str">
        <f>IF($Q$66=TRUE,"5.","")</f>
        <v/>
      </c>
      <c r="AO66" s="4" t="str">
        <f>IF($Q$66=TRUE,"Produktet har en emisjonstest som viser at emisjoner av kreftfremkallende forbindelser (IARC) er under 0,005 mg/m²h ¹⁾  ²⁾","")</f>
        <v/>
      </c>
      <c r="AP66" s="4" t="str">
        <f>IF($Q$66=TRUE,"NS-EN 15251:2007 (Tillegg C)","")</f>
        <v/>
      </c>
      <c r="AQ66" s="4" t="str">
        <f>IF($Q$66=TRUE,"6.","")</f>
        <v/>
      </c>
      <c r="AR66" s="4" t="str">
        <f>IF($Q$66=TRUE,"Produktet har en emisjonstest som viser at emisjoner av formaldehyd er under 0,05 mg/m²h ¹⁾  ²⁾","")</f>
        <v/>
      </c>
      <c r="AS66" s="4" t="str">
        <f>IF($Q$66=TRUE,"NS-EN 15251:2007 (Tillegg C)","")</f>
        <v/>
      </c>
      <c r="AT66" s="4" t="str">
        <f>IF($Q$66=TRUE,"7.","")</f>
        <v/>
      </c>
      <c r="AU66" s="4" t="str">
        <f>IF($Q$66=TRUE,"Testene i punkt 2–6 er utført iht. ISO 16000-serien med målinger gjort etter 28 dager","")</f>
        <v/>
      </c>
      <c r="AV66" s="4" t="str">
        <f>IF($Q$66=TRUE,"ISO 16000","")</f>
        <v/>
      </c>
      <c r="AW66" s="4" t="str">
        <f>IF($Q$66=TRUE,"8.","")</f>
        <v/>
      </c>
      <c r="AX66" s="4" t="str">
        <f>IF($Q$66=TRUE,"Undertegnede kan bekrefte fravær av regulerte treimpregneringsmidler og at minimumsnivå er overholdt","")</f>
        <v/>
      </c>
      <c r="AY66" s="4" t="str">
        <f>IF($Q$66=TRUE,"NS-EN 14342:2005","")</f>
        <v/>
      </c>
      <c r="AZ66" s="4" t="str">
        <f>IF(Q66=TRUE,"¹⁾ Under «Vanlig stilte spørsmål» på www.ngbc.no gis hjelp til å vurdere ulike kjente emisjonssertifikater opp mot kravene i NS-EN 15251.",IF(BC66=TRUE,"¹⁾ Flammehemmerne penta-, okta- og deka-BDE er forbudt.",""))</f>
        <v/>
      </c>
      <c r="BA66" s="4" t="str">
        <f>IF(Q66=TRUE,"²⁾ Merk at emisjonene her er oppgitt i mg/m²h. De fleste emisjonssertifikater oppgir emisjoner i mg/m³. Det finnes en metode for å konvertere disse slik at man kan sammenligne resultater. Deres foretrukne laboratorium kan bistå dere med dette.","")</f>
        <v/>
      </c>
      <c r="BB66" s="4" t="str">
        <f>IF(Q66=TRUE,"³⁾ Merk at M1 er den eneste kjente emisjonsmerkeordningen der ammoniakk inngår som en av de emisjonene som måles.","")</f>
        <v/>
      </c>
      <c r="BC66" s="3" t="b">
        <f t="shared" si="0"/>
        <v>0</v>
      </c>
      <c r="BD66" s="3"/>
      <c r="BE66" s="3"/>
      <c r="BF66" s="3"/>
      <c r="BG66" s="3"/>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row>
    <row r="67" spans="1:124" s="2" customFormat="1" ht="15" hidden="1" customHeight="1">
      <c r="A67" s="3"/>
      <c r="B67" s="3"/>
      <c r="C67" s="3"/>
      <c r="D67" s="8"/>
      <c r="E67" s="8"/>
      <c r="F67" s="8"/>
      <c r="G67" s="8"/>
      <c r="H67" s="8"/>
      <c r="I67" s="8"/>
      <c r="J67" s="3"/>
      <c r="K67" s="9"/>
      <c r="L67" s="9"/>
      <c r="M67" s="9"/>
      <c r="N67" s="3"/>
      <c r="O67" s="2">
        <v>9</v>
      </c>
      <c r="P67" s="13" t="str">
        <f>IF(O46=2,"Lim",IF(O46=3,"Trepanel",""))</f>
        <v/>
      </c>
      <c r="Q67" s="3" t="b">
        <f>IF($O$46=3,IF($O$58=9,TRUE,FALSE))</f>
        <v>0</v>
      </c>
      <c r="R67" s="3" t="b">
        <f>IF($O$46=2,IF($O$50=3,IF($O$58=9,TRUE,FALSE)))</f>
        <v>0</v>
      </c>
      <c r="S67" s="3" t="b">
        <f>IF($O$46=2,IF($O$50=2,IF($O$58=9,TRUE,FALSE)))</f>
        <v>0</v>
      </c>
      <c r="T67" s="7" t="str">
        <f>IF(Q67=TRUE,"trepanel","")</f>
        <v/>
      </c>
      <c r="U67" s="7" t="str">
        <f>IF($Q$67=TRUE,"1.a",IF($R$67=TRUE,"1.",IF($S$67=TRUE,"1.","")))</f>
        <v/>
      </c>
      <c r="V67" s="7" t="str">
        <f>IF($Q$67=TRUE,"Produktet kan klassifiseres som E1 iht. testmetode EN 717-1:2004",IF($R$67=TRUE,"Bisfenol A",IF($S$67=TRUE,"Bisfenol A","")))</f>
        <v/>
      </c>
      <c r="W67" s="7" t="str">
        <f>IF($Q$67=TRUE,"EN 13986:2002
EN 717-1:2004","")</f>
        <v/>
      </c>
      <c r="X67" s="4" t="str">
        <f>IF($Q$67=TRUE,"1.b",IF($R$67=TRUE,"2.",IF($S$67=TRUE,"2.","")))</f>
        <v/>
      </c>
      <c r="Y67" s="4" t="str">
        <f>IF($Q$67=TRUE,"Undertegnede kan bekrefte at produktet ikke er tilsatt noen materialer som inneholder formaldehyd under produksjon eller ved bearbeiding etter produksjonen. Disse kan klassifiseres som E1 uten prøving",IF($R$67=TRUE,"Ftalat DEHP",IF($S$67=TRUE,"Ftalatene DEHP, BBP og DBP","")))</f>
        <v/>
      </c>
      <c r="Z67" s="4" t="str">
        <f>IF($Q$67=TRUE,"Se NS-EN 13986:2002 for detaljert informasjon om dette","")</f>
        <v/>
      </c>
      <c r="AA67" s="3"/>
      <c r="AB67" s="4" t="str">
        <f>IF($Q$67=TRUE,"2.",IF($R$67=TRUE,"3.",IF($S$67=TRUE,"3.","")))</f>
        <v/>
      </c>
      <c r="AC67" s="4" t="str">
        <f>IF($Q$67=TRUE,"Produktet har en emisjonstest som viser at emisjoner av TVOC er under 0,2 mg/m²h ¹⁾  ²⁾",IF($R$67=TRUE,"Mellomkjedede klorparafiner ¹⁾",IF($S$67=TRUE,"Klorparafiner","")))</f>
        <v/>
      </c>
      <c r="AD67" s="4" t="str">
        <f>IF($Q$67=TRUE,"NS-EN 15251:2007 (Tillegg C)","")</f>
        <v/>
      </c>
      <c r="AE67" s="4" t="str">
        <f>IF($Q$67=TRUE,"3.",IF($R$67=TRUE,"4.",IF($S$67=TRUE,"4.","")))</f>
        <v/>
      </c>
      <c r="AF67" s="4" t="str">
        <f>IF($Q$67=TRUE,"Produktet har ikke en emisjonstest som måler emisjoner av ammoniakk, men undertegnede kan bekrefte:
1)   at ammoniakk ikke er sporbart aktivt i produktet, OG
2)   at produktet ikke inneholder stoffer som kan avspaltes til ammoniakk",IF($R$67=TRUE,"Krom",IF($S$67=TRUE,"Krom","")))</f>
        <v/>
      </c>
      <c r="AG67" s="4" t="str">
        <f>IF($Q$67=TRUE,"","")</f>
        <v/>
      </c>
      <c r="AH67" s="4" t="str">
        <f>IF($Q$67=TRUE,"4.a",IF($R$67=TRUE,"5.",IF($S$67=TRUE,"5.","")))</f>
        <v/>
      </c>
      <c r="AI67" s="4" t="str">
        <f>IF($Q$67=TRUE,"Produktet har en emisjonstest som viser at emisjoner av ammoniakk er under 0,03 mg/m²h ¹⁾  ²⁾  ³⁾",IF($R$67=TRUE,"Oktyl-nonylfenoler",IF($S$67=TRUE,"Oktyl-nonylfenoler","")))</f>
        <v/>
      </c>
      <c r="AJ67" s="4" t="str">
        <f>IF($Q$67=TRUE,"NS-EN 15251:2007 (Tillegg C)","")</f>
        <v/>
      </c>
      <c r="AK67" s="4" t="str">
        <f>IF($Q$67=TRUE,"4.b",IF($R$67=TRUE,"6.",""))</f>
        <v/>
      </c>
      <c r="AL67" s="4" t="str">
        <f>IF($Q$67=TRUE,"Produktet har en emisjonstest som viser at misnøye med lukt er under 15%. Gjelder kun hvis relevant for produktet ¹⁾",IF($R$67=TRUE,"Tris(2-kloretyl)fosfat (TCEP)",""))</f>
        <v/>
      </c>
      <c r="AM67" s="4" t="str">
        <f>IF($Q$67=TRUE,"NS-EN 15251:2007 (Tillegg C)","")</f>
        <v/>
      </c>
      <c r="AN67" s="4" t="str">
        <f>IF($Q$67=TRUE,"5.","")</f>
        <v/>
      </c>
      <c r="AO67" s="4" t="str">
        <f>IF($Q$67=TRUE,"Produktet har en emisjonstest som viser at emisjoner av kreftfremkallende forbindelser (IARC) er under 0,005 mg/m²h ¹⁾  ²⁾","")</f>
        <v/>
      </c>
      <c r="AP67" s="4" t="str">
        <f>IF($Q$67=TRUE,"NS-EN 15251:2007 (Tillegg C)","")</f>
        <v/>
      </c>
      <c r="AQ67" s="4" t="str">
        <f>IF($Q$67=TRUE,"6.","")</f>
        <v/>
      </c>
      <c r="AR67" s="4" t="str">
        <f>IF($Q$67=TRUE,"Produktet har en emisjonstest som viser at emisjoner av formaldehyd er under 0,05 mg/m²h ¹⁾  ²⁾","")</f>
        <v/>
      </c>
      <c r="AS67" s="4" t="str">
        <f>IF($Q$67=TRUE,"NS-EN 15251:2007 (Tillegg C)","")</f>
        <v/>
      </c>
      <c r="AT67" s="4" t="str">
        <f>IF($Q$67=TRUE,"7.","")</f>
        <v/>
      </c>
      <c r="AU67" s="4" t="str">
        <f>IF($Q$67=TRUE,"Testene i punkt 2–6 er utført iht. ISO 16000-serien med målinger gjort etter 28 dager","")</f>
        <v/>
      </c>
      <c r="AV67" s="4" t="str">
        <f>IF($Q$67=TRUE,"ISO 16000","")</f>
        <v/>
      </c>
      <c r="AW67" s="4" t="str">
        <f>IF($Q$67=TRUE,"8.","")</f>
        <v/>
      </c>
      <c r="AX67" s="4" t="str">
        <f>IF($Q$67=TRUE,"Undertegnede kan bekrefte fravær av regulerte treimpregneringsmidler og at minimumsnivå er overholdt","")</f>
        <v/>
      </c>
      <c r="AY67" s="4" t="str">
        <f>IF($Q$67=TRUE,"NS-EN 13986:2002","")</f>
        <v/>
      </c>
      <c r="AZ67" s="4" t="str">
        <f>IF(Q67=TRUE,"¹⁾ Under «Vanlig stilte spørsmål» på www.ngbc.no gis hjelp til å vurdere ulike kjente emisjonssertifikater opp mot kravene i NS-EN 15251.","")</f>
        <v/>
      </c>
      <c r="BA67" s="4" t="str">
        <f>IF(Q67=TRUE,"²⁾ Merk at emisjonene her er oppgitt i mg/m²h. De fleste emisjonssertifikater oppgir emisjoner i mg/m³. Det finnes en metode for å konvertere disse slik at man kan sammenligne resultater. Deres foretrukne laboratorium kan bistå dere med dette.","")</f>
        <v/>
      </c>
      <c r="BB67" s="4" t="str">
        <f>IF(Q67=TRUE,"³⁾ Merk at M1 er den eneste kjente emisjonsmerkeordningen der ammoniakk inngår som en av de emisjonene som måles.","")</f>
        <v/>
      </c>
      <c r="BC67" s="3" t="b">
        <f t="shared" si="0"/>
        <v>0</v>
      </c>
      <c r="BD67" s="3"/>
      <c r="BE67" s="3"/>
      <c r="BF67" s="3"/>
      <c r="BG67" s="3"/>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row>
    <row r="68" spans="1:124" s="2" customFormat="1" ht="15" hidden="1" customHeight="1">
      <c r="A68" s="3"/>
      <c r="B68" s="3"/>
      <c r="C68" s="3"/>
      <c r="D68" s="8"/>
      <c r="E68" s="8"/>
      <c r="F68" s="8"/>
      <c r="G68" s="8"/>
      <c r="H68" s="8"/>
      <c r="I68" s="8"/>
      <c r="J68" s="3"/>
      <c r="K68" s="9"/>
      <c r="L68" s="9"/>
      <c r="M68" s="9"/>
      <c r="N68" s="3"/>
      <c r="O68" s="2">
        <v>10</v>
      </c>
      <c r="P68" s="13" t="str">
        <f>IF(O46=2,"Sparkel, fugemasse og -skum",IF(O46=3,"Veggkledninger",""))</f>
        <v/>
      </c>
      <c r="Q68" s="3" t="b">
        <f>IF($O$46=3,IF($O$58=10,TRUE,FALSE))</f>
        <v>0</v>
      </c>
      <c r="R68" s="3" t="b">
        <f>IF($O$46=2,IF($O$50=3,IF($O$58=10,TRUE,FALSE)))</f>
        <v>0</v>
      </c>
      <c r="S68" s="3" t="b">
        <f>IF($O$46=2,IF($O$50=2,IF($O$58=10,TRUE,FALSE)))</f>
        <v>0</v>
      </c>
      <c r="T68" s="7" t="str">
        <f>IF(Q68=TRUE,"veggkledninger","")</f>
        <v/>
      </c>
      <c r="U68" s="7" t="str">
        <f>IF($Q$68=TRUE,"1.",IF($R$68=TRUE,"1.",IF($S$68=TRUE,"1.","")))</f>
        <v/>
      </c>
      <c r="V68" s="7" t="str">
        <f>IF($Q$68=TRUE,"Produktet har en emisjonstest som viser at emisjoner av TVOC er under 0,2 mg/m²h ¹⁾  ²⁾",IF($R$68=TRUE,"Bisfenol A",IF($S$68=TRUE,"Bisfenol A","")))</f>
        <v/>
      </c>
      <c r="W68" s="7" t="str">
        <f>IF($Q$68=TRUE,"NS-EN 15251:2007 (Tillegg C)","")</f>
        <v/>
      </c>
      <c r="X68" s="4" t="str">
        <f>IF($Q$68=TRUE,"2.",IF($R$68=TRUE,"2.",IF($S$68=TRUE,"2.","")))</f>
        <v/>
      </c>
      <c r="Y68" s="4" t="str">
        <f>IF($Q$68=TRUE,"Produktet har en emisjonstest som viser at emisjoner av formaldehyd er under 0,05 mg/m²h ¹⁾  ²⁾",IF($R$68=TRUE,"Ftalat DEHP",IF($S$68=TRUE,"Ftalatene DEHP, BBP og DBP","")))</f>
        <v/>
      </c>
      <c r="Z68" s="4" t="str">
        <f>IF($Q$68=TRUE,"NS-EN 15251:2007 (Tillegg C)","")</f>
        <v/>
      </c>
      <c r="AA68" s="3"/>
      <c r="AB68" s="4" t="str">
        <f>IF($Q$68=TRUE,"3.a",IF($R$68=TRUE,"3.",IF($S$68=TRUE,"3.","")))</f>
        <v/>
      </c>
      <c r="AC68" s="4" t="str">
        <f>IF($Q$68=TRUE,"Produktet har en emisjonstest som viser at emisjoner av ammoniakk er under 0,03 mg/m²h ¹⁾  ²⁾  ³⁾",IF($R$68=TRUE,"Mellomkjedede klorparafiner ¹⁾",IF($S$68=TRUE,"Klorparafiner","")))</f>
        <v/>
      </c>
      <c r="AD68" s="4" t="str">
        <f>IF($Q$68=TRUE,"NS-EN 15251:2007 (Tillegg C)","")</f>
        <v/>
      </c>
      <c r="AE68" s="4" t="str">
        <f>IF($Q$68=TRUE,"3.b",IF($R$68=TRUE,"4.",IF($S$68=TRUE,"4.","")))</f>
        <v/>
      </c>
      <c r="AF68" s="4" t="str">
        <f>IF($Q$68=TRUE,"Produktet har ikke en emisjonstest som måler emisjoner av ammoniakk, men undertegnede kan bekrefte:
1)   at ammoniakk ikke er sporbart aktivt i produktet, OG
2)   at produktet ikke inneholder stoffer som kan avspaltes til ammoniakk",IF($R$68=TRUE,"Krom",IF($S$68=TRUE,"Krom","")))</f>
        <v/>
      </c>
      <c r="AG68" s="4" t="str">
        <f>IF($Q$68=TRUE,"","")</f>
        <v/>
      </c>
      <c r="AH68" s="4" t="str">
        <f>IF($Q$68=TRUE,"4.",IF($R$68=TRUE,"5.",IF($S$68=TRUE,"5.","")))</f>
        <v/>
      </c>
      <c r="AI68" s="4" t="str">
        <f>IF($Q$68=TRUE,"Produktet har en emisjonstest som viser at emisjoner av kreftfremkallende forbindelser (IARC) er under 0,005 mg/m²h ¹⁾  ²⁾",IF($R$68=TRUE,"Oktyl-nonylfenoler",IF($S$68=TRUE,"Oktyl-nonylfenoler","")))</f>
        <v/>
      </c>
      <c r="AJ68" s="4" t="str">
        <f>IF($Q$68=TRUE,"NS-EN 15251:2007 (Tillegg C)","")</f>
        <v/>
      </c>
      <c r="AK68" s="4" t="str">
        <f>IF($Q$68=TRUE,"5.",IF($R$68=TRUE,"6.",IF($S$68=TRUE,"6.","")))</f>
        <v/>
      </c>
      <c r="AL68" s="4" t="str">
        <f>IF($Q$68=TRUE,"Produktet har en emisjonstest som viser at misnøye med lukt er under 15%. Gjelder kun hvis relevant for produktet ¹⁾",IF($R$68=TRUE,"Siloksan (D4 og D5)",IF($S$68=TRUE,"Siloksan (D5)","")))</f>
        <v/>
      </c>
      <c r="AM68" s="4" t="str">
        <f>IF($Q$68=TRUE,"NS-EN 15251:2007 (Tillegg C)","")</f>
        <v/>
      </c>
      <c r="AN68" s="4" t="str">
        <f>IF($Q$68=TRUE,"6.","")</f>
        <v/>
      </c>
      <c r="AO68" s="4" t="str">
        <f>IF($Q$68=TRUE,"Testene i punkt 1-5 er utført iht. ISO 16000-serien med målinger gjort etter 28 dager","")</f>
        <v/>
      </c>
      <c r="AP68" s="4" t="str">
        <f>IF($Q$68=TRUE,"ISO 16000","")</f>
        <v/>
      </c>
      <c r="AQ68" s="4" t="str">
        <f>IF($Q$68=TRUE,"7.","")</f>
        <v/>
      </c>
      <c r="AR68" s="4" t="str">
        <f>IF($Q$68=TRUE,"Utslippet av formaldehyd og VCM (vinylkloridmonomer) skal være lavt og innenfor EN-standarden for materialet","")</f>
        <v/>
      </c>
      <c r="AS68" s="4" t="str">
        <f>IF($Q$68=TRUE,"EN 233:1999
EN 234:1989
EN 259:2001
EN 266:1992
EN 12149:1997","")</f>
        <v/>
      </c>
      <c r="AT68" s="4" t="str">
        <f>IF($Q$68=TRUE,"8.","")</f>
        <v/>
      </c>
      <c r="AU68" s="4" t="str">
        <f>IF($Q$68=TRUE,"Migrering av tungmetaller og andre giftige stoffer er innenfor EN-standarden for materialet","")</f>
        <v/>
      </c>
      <c r="AV68" s="4" t="str">
        <f>IF($Q$68=TRUE,"EN 12149:1997","")</f>
        <v/>
      </c>
      <c r="AW68" s="4"/>
      <c r="AX68" s="4"/>
      <c r="AY68" s="4"/>
      <c r="AZ68" s="4" t="str">
        <f>IF(Q68=TRUE,"¹⁾ Under «Vanlig stilte spørsmål» på www.ngbc.no gis hjelp til å vurdere ulike kjente emisjonssertifikater opp mot kravene i NS-EN 15251.","")</f>
        <v/>
      </c>
      <c r="BA68" s="4" t="str">
        <f>IF(Q68=TRUE,"²⁾ Merk at emisjonene her er oppgitt i mg/m²h. De fleste emisjonssertifikater oppgir emisjoner i mg/m³. Det finnes en metode for å konvertere disse slik at man kan sammenligne resultater. Deres foretrukne laboratorium kan bistå dere med dette.","")</f>
        <v/>
      </c>
      <c r="BB68" s="4" t="str">
        <f>IF(Q68=TRUE,"³⁾ Merk at M1 er den eneste kjente emisjonsmerkeordningen der ammoniakk inngår som en av de emisjonene som måles.","")</f>
        <v/>
      </c>
      <c r="BC68" s="3" t="b">
        <f>OR(R68,S68)</f>
        <v>0</v>
      </c>
      <c r="BD68" s="3"/>
      <c r="BE68" s="3"/>
      <c r="BF68" s="3"/>
      <c r="BG68" s="3"/>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row>
    <row r="69" spans="1:124" s="2" customFormat="1" ht="15" hidden="1" customHeight="1">
      <c r="A69" s="3"/>
      <c r="B69" s="3"/>
      <c r="C69" s="3"/>
      <c r="D69" s="8"/>
      <c r="E69" s="8"/>
      <c r="F69" s="8"/>
      <c r="G69" s="8"/>
      <c r="H69" s="8"/>
      <c r="I69" s="8"/>
      <c r="J69" s="3"/>
      <c r="K69" s="9"/>
      <c r="L69" s="9"/>
      <c r="M69" s="9"/>
      <c r="N69" s="3"/>
      <c r="O69" s="2">
        <v>11</v>
      </c>
      <c r="P69" s="13" t="str">
        <f>IF(O46=2,"Maling, beis og lakk","")</f>
        <v/>
      </c>
      <c r="Q69" s="3"/>
      <c r="R69" s="3" t="b">
        <f>IF($O$46=2,IF($O$50=3,IF($O$58=11,TRUE,FALSE)))</f>
        <v>0</v>
      </c>
      <c r="S69" s="3" t="b">
        <f>IF($O$46=2,IF($O$50=2,IF($O$58=11,TRUE,FALSE)))</f>
        <v>0</v>
      </c>
      <c r="T69" s="7"/>
      <c r="U69" s="7" t="str">
        <f>IF($Q$69=TRUE,"1.",IF($R$69=TRUE,"1.",IF($S$69=TRUE,"1.","")))</f>
        <v/>
      </c>
      <c r="V69" s="7" t="str">
        <f>IF($Q$69=TRUE,"Produktet har en emisjonstest som viser at emisjoner av TVOC er under 0,2 mg/m²h ¹⁾  ²⁾",IF($R$69=TRUE,"Bisfenol A",IF($S$69=TRUE,"Bisfenol A","")))</f>
        <v/>
      </c>
      <c r="W69" s="7" t="str">
        <f>IF($Q$69=TRUE,"NS-EN 15251:2007 (Tillegg C)","")</f>
        <v/>
      </c>
      <c r="X69" s="4" t="str">
        <f>IF($Q$69=TRUE,"2.",IF($R$69=TRUE,"2.",IF($S$69=TRUE,"2.","")))</f>
        <v/>
      </c>
      <c r="Y69" s="4" t="str">
        <f>IF($Q$69=TRUE,"Produktet har en emisjonstest som viser at emisjoner av formaldehyd er under 0,05 mg/m²h ¹⁾  ²⁾",IF($R$69=TRUE,"Ftalat DEHP",IF($S$69=TRUE,"Ftalatene DEHP, BBP og DBP","")))</f>
        <v/>
      </c>
      <c r="Z69" s="4" t="str">
        <f>IF($Q$69=TRUE,"NS-EN 15251:2007 (Tillegg C)","")</f>
        <v/>
      </c>
      <c r="AA69" s="3"/>
      <c r="AB69" s="4" t="str">
        <f>IF($Q$69=TRUE,"3.a",IF($R$69=TRUE,"3.",IF($S$69=TRUE,"3.","")))</f>
        <v/>
      </c>
      <c r="AC69" s="4" t="str">
        <f>IF($Q$69=TRUE,"Produktet har en emisjonstest som viser at emisjoner av ammoniakk er under 0,03 mg/m²h ¹⁾  ²⁾  ³⁾",IF($R$69=TRUE,"Mellomkjedede klorparafiner ¹⁾",IF($S$69=TRUE,"Klorparafiner","")))</f>
        <v/>
      </c>
      <c r="AD69" s="4"/>
      <c r="AE69" s="4" t="str">
        <f>IF($R$69=TRUE,"4.",IF($S$69=TRUE,"4.",""))</f>
        <v/>
      </c>
      <c r="AF69" s="4" t="str">
        <f>IF($R$69=TRUE,"Krom",IF($S$69=TRUE,"Krom",""))</f>
        <v/>
      </c>
      <c r="AG69" s="4"/>
      <c r="AH69" s="4" t="str">
        <f>IF($Q$69=TRUE,"4.",IF($R$69=TRUE,"5.",IF($S$69=TRUE,"5.","")))</f>
        <v/>
      </c>
      <c r="AI69" s="4" t="str">
        <f>IF($Q$69=TRUE,"Produktet har en emisjonstest som viser at emisjoner av kreftfremkallende forbindelser (IARC) er under 0,005 mg/m²h ¹⁾  ²⁾",IF($R$69=TRUE,"Oktyl-nonylfenoler",IF($S$69=TRUE,"Oktyl-nonylfenoler","")))</f>
        <v/>
      </c>
      <c r="AJ69" s="4"/>
      <c r="AK69" s="4" t="str">
        <f>IF($Q$69=TRUE,"5.",IF($R$69=TRUE,"6.",IF($S$69=TRUE,"6.","")))</f>
        <v/>
      </c>
      <c r="AL69" s="4" t="str">
        <f>IF($Q$69=TRUE,"Produktet har en emisjonstest som viser at misnøye med lukt er under 15%. Gjelder kun hvis relevant for produktet ¹⁾",IF($R$69=TRUE,"Siloksan (D4 og D5)",IF($S$69=TRUE,"Siloksan (D5)","")))</f>
        <v/>
      </c>
      <c r="AM69" s="4"/>
      <c r="AN69" s="4" t="str">
        <f>IF($R$69=TRUE,"7.",IF($S$69=TRUE,"7.",""))</f>
        <v/>
      </c>
      <c r="AO69" s="4" t="str">
        <f>IF($R$69=TRUE,"Kadmium ²⁾",IF($S$69=TRUE,"Kadmium ¹⁾",""))</f>
        <v/>
      </c>
      <c r="AP69" s="4"/>
      <c r="AQ69" s="4" t="str">
        <f>IF($R$69=TRUE,"8.",IF($S$69=TRUE,"8.",""))</f>
        <v/>
      </c>
      <c r="AR69" s="4" t="str">
        <f>IF($R$69=TRUE,"Bly",IF($S$69=TRUE,"Bly",""))</f>
        <v/>
      </c>
      <c r="AS69" s="4"/>
      <c r="AT69" s="4" t="str">
        <f>IF($R$69=TRUE,"9.","")</f>
        <v/>
      </c>
      <c r="AU69" s="4" t="str">
        <f>IF($R$69=TRUE,"Tris(2-kloretyl)fosfat (TCEP)","")</f>
        <v/>
      </c>
      <c r="AV69" s="4"/>
      <c r="AW69" s="4"/>
      <c r="AX69" s="4"/>
      <c r="AY69" s="4"/>
      <c r="AZ69" s="4"/>
      <c r="BA69" s="4"/>
      <c r="BB69" s="4"/>
      <c r="BC69" s="3" t="b">
        <f>OR(R69,S69)</f>
        <v>0</v>
      </c>
      <c r="BD69" s="3"/>
      <c r="BE69" s="3"/>
      <c r="BF69" s="3"/>
      <c r="BG69" s="3"/>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row>
    <row r="70" spans="1:124" ht="15" customHeight="1">
      <c r="A70" s="14"/>
      <c r="B70" s="14"/>
      <c r="C70" s="19" t="str">
        <f>IF(O46=1,"",IF(O58=1,"","Handelsnavn:"))</f>
        <v/>
      </c>
      <c r="D70" s="14"/>
      <c r="E70" s="27"/>
      <c r="F70" s="27"/>
      <c r="G70" s="27"/>
      <c r="H70" s="27"/>
      <c r="I70" s="27"/>
      <c r="J70" s="14"/>
      <c r="K70" s="28"/>
      <c r="L70" s="28"/>
      <c r="M70" s="28"/>
      <c r="N70" s="14"/>
      <c r="O70" s="14"/>
      <c r="P70" s="14"/>
      <c r="T70" s="91" t="str">
        <f>CONCATENATE(T60,T61,T62,T63,T64,T65,T66,T67,T68,T69)</f>
        <v/>
      </c>
      <c r="U70" s="91" t="str">
        <f t="shared" ref="U70:AY70" si="1">CONCATENATE(U60,U61,U62,U63,U64,U65,U66,U67,U68,U69)</f>
        <v/>
      </c>
      <c r="V70" s="91" t="str">
        <f t="shared" si="1"/>
        <v/>
      </c>
      <c r="W70" s="91" t="str">
        <f t="shared" si="1"/>
        <v/>
      </c>
      <c r="X70" s="91" t="str">
        <f t="shared" si="1"/>
        <v/>
      </c>
      <c r="Y70" s="91" t="str">
        <f t="shared" si="1"/>
        <v/>
      </c>
      <c r="Z70" s="91" t="str">
        <f>CONCATENATE(Z60,Z61,Z62,Z63,Z64,Z65,Z66,Z67,Z68,Z69)</f>
        <v/>
      </c>
      <c r="AA70" s="91"/>
      <c r="AB70" s="91" t="str">
        <f t="shared" si="1"/>
        <v/>
      </c>
      <c r="AC70" s="91" t="str">
        <f t="shared" si="1"/>
        <v/>
      </c>
      <c r="AD70" s="91" t="str">
        <f t="shared" si="1"/>
        <v/>
      </c>
      <c r="AE70" s="91" t="str">
        <f t="shared" si="1"/>
        <v/>
      </c>
      <c r="AF70" s="91" t="str">
        <f t="shared" si="1"/>
        <v/>
      </c>
      <c r="AG70" s="91" t="str">
        <f t="shared" si="1"/>
        <v/>
      </c>
      <c r="AH70" s="91" t="str">
        <f t="shared" si="1"/>
        <v/>
      </c>
      <c r="AI70" s="91" t="str">
        <f t="shared" si="1"/>
        <v/>
      </c>
      <c r="AJ70" s="91" t="str">
        <f t="shared" si="1"/>
        <v/>
      </c>
      <c r="AK70" s="91" t="str">
        <f t="shared" si="1"/>
        <v/>
      </c>
      <c r="AL70" s="91" t="str">
        <f t="shared" si="1"/>
        <v/>
      </c>
      <c r="AM70" s="91" t="str">
        <f t="shared" si="1"/>
        <v/>
      </c>
      <c r="AN70" s="91" t="str">
        <f t="shared" si="1"/>
        <v/>
      </c>
      <c r="AO70" s="91" t="str">
        <f t="shared" si="1"/>
        <v/>
      </c>
      <c r="AP70" s="91" t="str">
        <f t="shared" si="1"/>
        <v/>
      </c>
      <c r="AQ70" s="91" t="str">
        <f t="shared" si="1"/>
        <v/>
      </c>
      <c r="AR70" s="91" t="str">
        <f t="shared" si="1"/>
        <v/>
      </c>
      <c r="AS70" s="91" t="str">
        <f>CONCATENATE(AS60,AS61,AS62,AS63,AS64,AS65,AS66,AS67,AS68,AS69)</f>
        <v/>
      </c>
      <c r="AT70" s="91" t="str">
        <f>CONCATENATE(AT60,AT61,AT62,AT63,AT64,AT65,AT66,AT67,AT68,AT69)</f>
        <v/>
      </c>
      <c r="AU70" s="91" t="str">
        <f t="shared" si="1"/>
        <v/>
      </c>
      <c r="AV70" s="91" t="str">
        <f t="shared" si="1"/>
        <v/>
      </c>
      <c r="AW70" s="91" t="str">
        <f t="shared" si="1"/>
        <v/>
      </c>
      <c r="AX70" s="91" t="str">
        <f t="shared" si="1"/>
        <v/>
      </c>
      <c r="AY70" s="91" t="str">
        <f t="shared" si="1"/>
        <v/>
      </c>
      <c r="AZ70" s="4" t="str">
        <f>CONCATENATE(AZ60,AZ61,AZ62,AZ63,AZ64,AZ65,AZ66,AZ67,AZ68)</f>
        <v/>
      </c>
      <c r="BA70" s="4" t="str">
        <f>CONCATENATE(BA60,BA61,BA62,BA63,BA64,BA65,BA66,BA67,BA68)</f>
        <v/>
      </c>
      <c r="BB70" s="4" t="str">
        <f>CONCATENATE(BB60,BB61,BB62,BB63,BB64,BB65,BB66,BB67,BB68)</f>
        <v/>
      </c>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row>
    <row r="71" spans="1:124" ht="15" customHeight="1">
      <c r="A71" s="14"/>
      <c r="B71" s="14"/>
      <c r="C71" s="178"/>
      <c r="D71" s="179"/>
      <c r="E71" s="179"/>
      <c r="F71" s="179"/>
      <c r="G71" s="180"/>
      <c r="H71" s="27"/>
      <c r="I71" s="199" t="str">
        <f>IF(Q65=TRUE,"For deklarering av maling og lakk, se egen tabell nederst i dokumentet. 
Velg «Til deklarering» når dokumentasjonskravene er bekreftet.","")</f>
        <v/>
      </c>
      <c r="J71" s="199"/>
      <c r="K71" s="199"/>
      <c r="L71" s="199"/>
      <c r="M71" s="199"/>
      <c r="N71" s="199"/>
      <c r="O71" s="199"/>
      <c r="P71" s="14"/>
      <c r="T71" s="7" t="str">
        <f>IF($Q$60=TRUE,"fugemasser",IF(R60=TRUE,"bygningsplater",IF(S60=TRUE,"bygningsplater","")))</f>
        <v/>
      </c>
      <c r="U71" s="7" t="str">
        <f>IF($Q$60=TRUE,"fugemasser",IF(R60=TRUE,"bygningsplater",IF(S60=TRUE,"bygningsplater","")))</f>
        <v/>
      </c>
      <c r="V71" s="7" t="str">
        <f>IF($Q$60=TRUE,"Produktet har en emisjonstest som viser at emisjoner av TVOC er under 0,2 mg/m²h",IF(R60=TRUE,"Arsen",IF(S60=TRUE,"Arsen","")))</f>
        <v/>
      </c>
      <c r="W71" s="7" t="str">
        <f>IF($Q$60=TRUE,"NS-EN 15251:2007 (Tillegg C)","")</f>
        <v/>
      </c>
      <c r="X71" s="4" t="str">
        <f>IF($Q$60=TRUE,"2.",IF(R60=TRUE,"2.",IF(S60=TRUE,"2.","")))</f>
        <v/>
      </c>
      <c r="Y71" s="4" t="str">
        <f>IF($Q$60=TRUE,"Produktet har en emisjonstest som viser at emisjoner av formaldehyd er under 0,05 mg/m²h",IF(R60=TRUE,"Bly",IF(S60=TRUE,"Bly","")))</f>
        <v/>
      </c>
      <c r="Z71" s="4" t="str">
        <f>IF($Q$60=TRUE,"NS-EN 15251:2007 (Tillegg C)","")</f>
        <v/>
      </c>
      <c r="AB71" s="4" t="str">
        <f>IF($Q$60=TRUE,"3.a",IF(R60=TRUE,"3.",IF(S60=TRUE,"3.","")))</f>
        <v/>
      </c>
      <c r="AC71" s="4" t="str">
        <f>IF($Q$60=TRUE,"Produktet har en emisjonstest som viser at emisjoner av ammoniakk er under 0,03 mg/m²h",IF(R60=TRUE,"Bromerte flammehemmere (HBCDD, TBBPA)",IF(S60=TRUE,"Bromerte flammehemmere (HBCDD, TBBPA)","")))</f>
        <v/>
      </c>
      <c r="AD71" s="4" t="str">
        <f>IF($Q$60=TRUE,"NS-EN 15251:2007 (Tillegg C)","")</f>
        <v/>
      </c>
      <c r="AE71" s="4" t="str">
        <f>IF($Q$60=TRUE,"3.b",IF(R60=TRUE,"4.",IF(S60=TRUE,"4.","")))</f>
        <v/>
      </c>
      <c r="AF71" s="4" t="str">
        <f>IF($Q$60=TRUE,"Produktet har ikke en emisjonstest som måler emisjoner av ammoniakk, men undertegnede kan bekrefte at ammoniakk ikke er sporbart aktivt i produktet, og at produktet ikke inneholder stoffer som kan avspaltes til ammoniakk",IF($R$60=TRUE,"Ftalat DEHP",IF($S$60=TRUE,"Ftalatene DEHP, BBP og DBP","")))</f>
        <v/>
      </c>
      <c r="AG71" s="4" t="str">
        <f>IF($Q$60=TRUE,"","")</f>
        <v/>
      </c>
      <c r="AH71" s="4" t="str">
        <f>IF($Q$60=TRUE,"4.",IF(R60=TRUE,"5.",IF(S60=TRUE,"5.","")))</f>
        <v/>
      </c>
      <c r="AI71" s="4" t="str">
        <f>IF($Q$60=TRUE,"Produktet har en emisjonstest som viser at emisjoner av kreftfremkallende forbindelser (IARC) er under 0,005 mg/m²h",IF(R60=TRUE,"Krom",IF(S60=TRUE,"Krom","")))</f>
        <v/>
      </c>
      <c r="AJ71" s="4" t="str">
        <f>IF($Q$60=TRUE,"NS-EN 15251:2007 (Tillegg C)","")</f>
        <v/>
      </c>
      <c r="AK71" s="4" t="str">
        <f>IF($Q$60=TRUE,"5.",IF(R60=TRUE,"6.",IF(S60=TRUE,"6.","")))</f>
        <v/>
      </c>
      <c r="AL71" s="4" t="str">
        <f>IF($Q$60=TRUE,"Produktet har en emisjonstest som viser at misnøye med lukt er under 15%. Gjelder kun hvis relevant for produktet",IF(R60=TRUE,"Oktyl-/nonylfenoler",IF(S60=TRUE,"Oktyl-/nonylfenoler","")))</f>
        <v/>
      </c>
      <c r="AM71" s="4" t="str">
        <f>IF($Q$60=TRUE,"NS-EN 15251:2007 (Tillegg C)","")</f>
        <v/>
      </c>
      <c r="AN71" s="4" t="str">
        <f>IF($Q$60=TRUE,"6.",IF($R$60=TRUE,"7.",IF($S$60=TRUE,"7.","")))</f>
        <v/>
      </c>
      <c r="AO71" s="4" t="str">
        <f>IF($Q$60=TRUE,"Testene i punkt 1–5 er utført iht. ISO 16000-serien med målinger gjort etter 28 dager",IF($R$60=TRUE,"Bisfenol A",IF($S$60=TRUE,"Bisfenol A","")))</f>
        <v/>
      </c>
      <c r="AP71" s="4" t="str">
        <f>IF($Q$60=TRUE,"ISO 16000","")</f>
        <v/>
      </c>
      <c r="AQ71" s="4"/>
      <c r="AR71" s="4"/>
      <c r="AS71" s="4"/>
      <c r="AT71" s="4"/>
      <c r="AU71" s="4"/>
      <c r="AV71" s="4"/>
      <c r="AW71" s="4"/>
      <c r="AX71" s="4"/>
      <c r="AY71" s="4"/>
      <c r="AZ71" s="4"/>
      <c r="BA71" s="4"/>
      <c r="BB71" s="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row>
    <row r="72" spans="1:124" ht="15" customHeight="1">
      <c r="A72" s="14"/>
      <c r="B72" s="14"/>
      <c r="C72" s="181"/>
      <c r="D72" s="182"/>
      <c r="E72" s="182"/>
      <c r="F72" s="182"/>
      <c r="G72" s="183"/>
      <c r="H72" s="27"/>
      <c r="I72" s="199"/>
      <c r="J72" s="199"/>
      <c r="K72" s="199"/>
      <c r="L72" s="199"/>
      <c r="M72" s="199"/>
      <c r="N72" s="199"/>
      <c r="O72" s="199"/>
      <c r="P72" s="14"/>
      <c r="T72" s="7" t="str">
        <f>IF(Q61=TRUE,"halvharde gulvbelegg, tekstile gulvbelegg og laminatgulv",IF(R61=TRUE,"tapeter",IF(S61=TRUE,"tapeter","")))</f>
        <v/>
      </c>
      <c r="U72" s="7" t="str">
        <f>IF($Q$61=TRUE,"1.a",IF(R61=TRUE,"1.",IF(S61=TRUE,"1.","")))</f>
        <v/>
      </c>
      <c r="V72" s="7" t="str">
        <f>IF($Q$61=TRUE,"Produktet kan klassifiseres som E1 iht. testmetode EN 717-1:2004",IF(R61=TRUE,"Arsen",IF(S61=TRUE,"Arsen","")))</f>
        <v/>
      </c>
      <c r="W72" s="7" t="str">
        <f>IF($Q$61=TRUE,"EN 14041:2004
EN 717-1:2004","")</f>
        <v/>
      </c>
      <c r="X72" s="4" t="str">
        <f>IF($Q$61=TRUE,"1.b",IF(R61=TRUE,"2.",IF(S61=TRUE,"2.","")))</f>
        <v/>
      </c>
      <c r="Y72" s="4" t="str">
        <f>IF($Q$61=TRUE,"Undertegnede kan bekrefte at produktet ikke er tilsatt noen materialer som inneholder formaldehyd under produksjon eller ved bearbeiding etter produksjonen. Disse kan klassifiseres som E1 uten prøving",IF(R61=TRUE,"Bly",IF(S61=TRUE,"Bly","")))</f>
        <v/>
      </c>
      <c r="Z72" s="4" t="str">
        <f>IF($Q$61=TRUE,"Se EN 14041:2004 for detaljert informasjon om dette.","")</f>
        <v/>
      </c>
      <c r="AB72" s="4" t="str">
        <f>IF($Q$61=TRUE,"2.",IF(R61=TRUE,"3.",IF(S61=TRUE,"3.","")))</f>
        <v/>
      </c>
      <c r="AC72" s="4" t="str">
        <f>IF($Q$61=TRUE,"Produktet har en emisjonstest som viser at emisjoner av TVOC er under 0,2 mg/m²h",IF(R61=TRUE,"Bromerte flammehemmere (HBCDD, TBBPA)",IF(S61=TRUE,"Bromerte flammehemmere (HBCDD, TBBPA)","")))</f>
        <v/>
      </c>
      <c r="AD72" s="4" t="str">
        <f>IF($Q$61=TRUE,"NS-EN 15251:2007 (Tillegg C)","")</f>
        <v/>
      </c>
      <c r="AE72" s="4" t="str">
        <f>IF($Q$61=TRUE,"3.",IF(R61=TRUE,"4.",IF(S61=TRUE,"4.","")))</f>
        <v/>
      </c>
      <c r="AF72" s="4" t="str">
        <f>IF($Q$61=TRUE,"Produktet har ikke en emisjonstest som måler emisjoner av ammoniakk, men undertegnede kan bekrefte at ammoniakk ikke er sporbart aktivt i produktet, og at produktet ikke inneholder stoffer som kan avspaltes til ammoniakk",IF($R$61=TRUE,"Ftalat DEHP",IF($S$61=TRUE,"Ftalatene DEHP, BBP og DBP","")))</f>
        <v/>
      </c>
      <c r="AG72" s="4" t="str">
        <f>IF($Q$61=TRUE,"","")</f>
        <v/>
      </c>
      <c r="AH72" s="4" t="str">
        <f>IF($Q$61=TRUE,"4.a",IF(R61=TRUE,"5.",IF(S61=TRUE,"5.","")))</f>
        <v/>
      </c>
      <c r="AI72" s="4" t="str">
        <f>IF($Q$61=TRUE,"Produktet har en emisjonstest som viser at emisjoner av ammoniakk er under 0,03 mg/m²h",IF(R61=TRUE,"Mellomkjedede klorparafiner",IF(S61=TRUE,"Mellomkjedede klorparafiner","")))</f>
        <v/>
      </c>
      <c r="AJ72" s="4" t="str">
        <f>IF($Q$61=TRUE,"NS-EN 15251:2007 (Tillegg C)","")</f>
        <v/>
      </c>
      <c r="AK72" s="4" t="str">
        <f>IF($Q$61=TRUE,"4.b","")</f>
        <v/>
      </c>
      <c r="AL72" s="4" t="str">
        <f>IF($Q$61=TRUE,"Produktet har en emisjonstest som viser at misnøye med lukt er under 15%. Gjelder kun hvis relevant for produktet","")</f>
        <v/>
      </c>
      <c r="AM72" s="4" t="str">
        <f>IF($Q$61=TRUE,"NS-EN 15251:2007 (Tillegg C)","")</f>
        <v/>
      </c>
      <c r="AN72" s="4" t="str">
        <f>IF($Q$61=TRUE,"5.","")</f>
        <v/>
      </c>
      <c r="AO72" s="4" t="str">
        <f>IF($Q$61=TRUE,"Produktet har en emisjonstest som viser at emisjoner av kreftfremkallende forbindelser (IARC) er under 0,005 mg/m²h","")</f>
        <v/>
      </c>
      <c r="AP72" s="4" t="str">
        <f>IF($Q$61=TRUE,"NS-EN 15251:2007 (Tillegg C)","")</f>
        <v/>
      </c>
      <c r="AQ72" s="4" t="str">
        <f>IF($Q$61=TRUE,"6.","")</f>
        <v/>
      </c>
      <c r="AR72" s="4" t="str">
        <f>IF($Q$61=TRUE,"Produktet har en emisjonstest som viser at emisjoner av formaldehyd er under 0,05 mg/m²h","")</f>
        <v/>
      </c>
      <c r="AS72" s="4" t="str">
        <f>IF($Q$61=TRUE,"NS-EN 15251:2007 (Tillegg C)","")</f>
        <v/>
      </c>
      <c r="AT72" s="4" t="str">
        <f>IF($Q$61=TRUE,"7.","")</f>
        <v/>
      </c>
      <c r="AU72" s="4" t="str">
        <f>IF($Q$61=TRUE,"Testene i punkt 2–6 er utført iht. ISO 16000-serien med målinger gjort etter 28 dager","")</f>
        <v/>
      </c>
      <c r="AV72" s="4" t="str">
        <f>IF($Q$61=TRUE,"ISO 16000","")</f>
        <v/>
      </c>
      <c r="AW72" s="4" t="str">
        <f>IF($Q$61=TRUE,"8.","")</f>
        <v/>
      </c>
      <c r="AX72" s="4" t="str">
        <f>IF($Q$61=TRUE,"Undertegnede kan bekrefte fravær av regulerte impregneringsmidler og at minimumsnivå er overholdt","")</f>
        <v/>
      </c>
      <c r="AY72" s="4" t="str">
        <f>IF($Q$61=TRUE,"EN 14041:2004","")</f>
        <v/>
      </c>
      <c r="AZ72" s="4"/>
      <c r="BA72" s="4"/>
      <c r="BB72" s="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row>
    <row r="73" spans="1:124" ht="15" customHeight="1">
      <c r="A73" s="14"/>
      <c r="B73" s="14"/>
      <c r="C73" s="181"/>
      <c r="D73" s="182"/>
      <c r="E73" s="182"/>
      <c r="F73" s="182"/>
      <c r="G73" s="183"/>
      <c r="H73" s="27"/>
      <c r="I73" s="199"/>
      <c r="J73" s="199"/>
      <c r="K73" s="199"/>
      <c r="L73" s="199"/>
      <c r="M73" s="199"/>
      <c r="N73" s="199"/>
      <c r="O73" s="199"/>
      <c r="P73" s="14"/>
      <c r="T73" s="7" t="str">
        <f>IF(Q62=TRUE,"gulvlim",IF(R62=TRUE,"tepper",IF(S62=TRUE,"tepper","")))</f>
        <v/>
      </c>
      <c r="U73" s="7" t="str">
        <f>IF($Q$62=TRUE,"1.",IF(R62=TRUE,"1.",IF(S62=TRUE,"1.","")))</f>
        <v/>
      </c>
      <c r="V73" s="7" t="str">
        <f>IF($Q$62=TRUE,"Produktet har en emisjonstest som viser at emisjoner av TVOC er under 0,2 mg/m²h",IF(R62=TRUE,"PFOS/PFOA",IF(S62=TRUE,"PFOS/PFOA","")))</f>
        <v/>
      </c>
      <c r="W73" s="7" t="str">
        <f>IF($Q$62=TRUE,"NS-EN 15251:2007 (Tillegg C)","")</f>
        <v/>
      </c>
      <c r="X73" s="4" t="str">
        <f>IF($Q$62=TRUE,"2.","")</f>
        <v/>
      </c>
      <c r="Y73" s="4" t="str">
        <f>IF($Q$62=TRUE,"Produktet har en emisjonstest som viser at emisjoner av formaldehyd er under 0,05 mg/m²h","")</f>
        <v/>
      </c>
      <c r="Z73" s="4" t="str">
        <f>IF($Q$62=TRUE,"NS-EN 15251:2007 (Tillegg C)","")</f>
        <v/>
      </c>
      <c r="AB73" s="4" t="str">
        <f>IF($Q$62=TRUE,"3.a","")</f>
        <v/>
      </c>
      <c r="AC73" s="4" t="str">
        <f>IF($Q$62=TRUE,"Produktet har en emisjonstest som viser at emisjoner av ammoniakk er under 0,03 mg/m²h","")</f>
        <v/>
      </c>
      <c r="AD73" s="4" t="str">
        <f>IF($Q$62=TRUE,"NS-EN 15251:2007 (Tillegg C)","")</f>
        <v/>
      </c>
      <c r="AE73" s="4" t="str">
        <f>IF($Q$62=TRUE,"3.b","")</f>
        <v/>
      </c>
      <c r="AF73" s="4" t="str">
        <f>IF($Q$62=TRUE,"Produktet har ikke en emisjonstest som måler emisjoner av ammoniakk, men undertegnede kan bekrefte at ammoniakk ikke er sporbart aktivt i produktet, og at produktet ikke inneholder stoffer som kan avspaltes til ammoniakk","")</f>
        <v/>
      </c>
      <c r="AG73" s="4" t="str">
        <f>IF($Q$62=TRUE,"","")</f>
        <v/>
      </c>
      <c r="AH73" s="4" t="str">
        <f>IF($Q$62=TRUE,"4.","")</f>
        <v/>
      </c>
      <c r="AI73" s="4" t="str">
        <f>IF($Q$62=TRUE,"Produktet har en emisjonstest som viser at emisjoner av kreftfremkallende forbindelser (IARC) er under 0,005 mg/m²h","")</f>
        <v/>
      </c>
      <c r="AJ73" s="4" t="str">
        <f>IF($Q$62=TRUE,"NS-EN 15251:2007 (Tillegg C)","")</f>
        <v/>
      </c>
      <c r="AK73" s="4" t="str">
        <f>IF($Q$62=TRUE,"5.","")</f>
        <v/>
      </c>
      <c r="AL73" s="4" t="str">
        <f>IF($Q$62=TRUE,"Produktet har en emisjonstest som viser at misnøye med lukt er under 15%. Gjelder kun hvis relevant for produktet","")</f>
        <v/>
      </c>
      <c r="AM73" s="4" t="str">
        <f>IF($Q$62=TRUE,"NS-EN 15251:2007 (Tillegg C)","")</f>
        <v/>
      </c>
      <c r="AN73" s="4" t="str">
        <f>IF($Q$62=TRUE,"6.","")</f>
        <v/>
      </c>
      <c r="AO73" s="4" t="str">
        <f>IF($Q$62=TRUE,"Testene i punkt 1-5 er utført iht. ISO 16000-serien med målinger gjort etter 28 dager","")</f>
        <v/>
      </c>
      <c r="AP73" s="4" t="str">
        <f>IF($Q$62=TRUE,"ISO 16000","")</f>
        <v/>
      </c>
      <c r="AQ73" s="4" t="str">
        <f>IF($Q$62=TRUE,"7.","")</f>
        <v/>
      </c>
      <c r="AR73" s="4" t="str">
        <f>IF($Q$62=TRUE,"Produktet har utført tester iht.  EN 13999-2/3/4:2007, og kan bekrefte fravær av kreft- og allergifremkallende stoffer","")</f>
        <v/>
      </c>
      <c r="AS73" s="4" t="str">
        <f>IF($Q$62=TRUE,"EN 13999-1 :2007
EN 13999-2:2007
EN 13999-3:2007
EN 13999-4:2007","")</f>
        <v/>
      </c>
      <c r="AT73" s="4"/>
      <c r="AU73" s="4"/>
      <c r="AV73" s="4"/>
      <c r="AW73" s="4"/>
      <c r="AX73" s="4"/>
      <c r="AY73" s="4"/>
      <c r="AZ73" s="4"/>
      <c r="BA73" s="4"/>
      <c r="BB73" s="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row>
    <row r="74" spans="1:124" ht="15" customHeight="1">
      <c r="A74" s="14"/>
      <c r="B74" s="14"/>
      <c r="C74" s="184"/>
      <c r="D74" s="185"/>
      <c r="E74" s="185"/>
      <c r="F74" s="185"/>
      <c r="G74" s="186"/>
      <c r="H74" s="27"/>
      <c r="I74" s="199"/>
      <c r="J74" s="199"/>
      <c r="K74" s="199"/>
      <c r="L74" s="199"/>
      <c r="M74" s="199"/>
      <c r="N74" s="199"/>
      <c r="O74" s="199"/>
      <c r="P74" s="14"/>
      <c r="T74" s="7" t="str">
        <f>IF(Q63=TRUE,"himlingsplater",IF(R63=TRUE,"trevirke",IF(S63=TRUE,"trevirke","")))</f>
        <v/>
      </c>
      <c r="U74" s="7" t="str">
        <f>IF($Q$63=TRUE,"1.a",IF(R63=TRUE,"1.",IF(S63=TRUE,"1.","")))</f>
        <v/>
      </c>
      <c r="V74" s="7" t="str">
        <f>IF($Q$63=TRUE,"Produktet kan klassifiseres som E1 iht. testmetode EN 717-1:2004",IF(R63=TRUE,"Kreosot (PAH)",IF(S63=TRUE,"Kreosot (PAH)","")))</f>
        <v/>
      </c>
      <c r="W74" s="7" t="str">
        <f>IF($Q$63=TRUE,"EN 13964:2004
EN 717-1:2004","")</f>
        <v/>
      </c>
      <c r="X74" s="4" t="str">
        <f>IF($Q$63=TRUE,"1.b","")</f>
        <v/>
      </c>
      <c r="Y74" s="4" t="str">
        <f>IF($Q$63=TRUE,"Undertegnede kan bekrefte at produktet ikke er tilsatt noen materialer som inneholder formaldehyd under produksjon eller ved bearbeiding etter produksjonen. Disse kan klassifiseres som E1 uten prøving","")</f>
        <v/>
      </c>
      <c r="Z74" s="4" t="str">
        <f>IF($Q$63=TRUE,"Se NS-EN 13964:2004 for detaljert informasjon om dette","")</f>
        <v/>
      </c>
      <c r="AB74" s="4" t="str">
        <f>IF($Q$63=TRUE,"2.","")</f>
        <v/>
      </c>
      <c r="AC74" s="4" t="str">
        <f>IF($Q$63=TRUE,"Produktet har en emisjonstest som viser at emisjoner av TVOC er under 0,2 mg/m²h","")</f>
        <v/>
      </c>
      <c r="AD74" s="4" t="str">
        <f>IF($Q$63=TRUE,"NS-EN 15251:2007 (Tillegg C)","")</f>
        <v/>
      </c>
      <c r="AE74" s="4" t="str">
        <f>IF($Q$63=TRUE,"3.","")</f>
        <v/>
      </c>
      <c r="AF74" s="4" t="str">
        <f>IF($Q$63=TRUE,"Produktet har ikke en emisjonstest som måler emisjoner av ammoniakk, men undertegnede kan bekrefte at at ammoniakk ikke er sporbart aktivt i produktet, og at produktet ikke inneholder stoffer som kan avspaltes til ammoniakk","")</f>
        <v/>
      </c>
      <c r="AG74" s="4" t="str">
        <f>IF($Q$63=TRUE,"","")</f>
        <v/>
      </c>
      <c r="AH74" s="4" t="str">
        <f>IF($Q$63=TRUE,"4.a","")</f>
        <v/>
      </c>
      <c r="AI74" s="4" t="str">
        <f>IF($Q$63=TRUE,"Produktet har en emisjonstest som viser at emisjoner av ammoniakk er under 0,03 mg/m²h","")</f>
        <v/>
      </c>
      <c r="AJ74" s="4" t="str">
        <f>IF($Q$63=TRUE,"NS-EN 15251:2007 (Tillegg C)","")</f>
        <v/>
      </c>
      <c r="AK74" s="4" t="str">
        <f>IF($Q$63=TRUE,"4.b","")</f>
        <v/>
      </c>
      <c r="AL74" s="4" t="str">
        <f>IF($Q$63=TRUE,"Produktet har en emisjonstest som viser at misnøye med lukt er under 15%. Gjelder kun hvis relevant for produktet","")</f>
        <v/>
      </c>
      <c r="AM74" s="4" t="str">
        <f>IF($Q$63=TRUE,"NS-EN 15251:2007 (Tillegg C)","")</f>
        <v/>
      </c>
      <c r="AN74" s="4" t="str">
        <f>IF($Q$63=TRUE,"5.","")</f>
        <v/>
      </c>
      <c r="AO74" s="4" t="str">
        <f>IF($Q$63=TRUE,"Produktet har en emisjonstest som viser at emisjoner av kreftfremkallende forbindelser (IARC) er under 0,005 mg/m²h","")</f>
        <v/>
      </c>
      <c r="AP74" s="4" t="str">
        <f>IF($Q$63=TRUE,"NS-EN 15251:2007 (Tillegg C)","")</f>
        <v/>
      </c>
      <c r="AQ74" s="4" t="str">
        <f>IF($Q$63=TRUE,"6.","")</f>
        <v/>
      </c>
      <c r="AR74" s="4" t="str">
        <f>IF($Q$63=TRUE,"Produktet har en emisjonstest som viser at emisjoner av formaldehyd er under 0,05 mg/m²h","")</f>
        <v/>
      </c>
      <c r="AS74" s="4" t="str">
        <f>IF($Q$63=TRUE,"NS-EN 15251:2007 (Tillegg C)","")</f>
        <v/>
      </c>
      <c r="AT74" s="4" t="str">
        <f>IF($Q$63=TRUE,"7.","")</f>
        <v/>
      </c>
      <c r="AU74" s="4" t="str">
        <f>IF($Q$63=TRUE,"Testene i punkt 2–6 er utført iht. ISO 16000-serien med målinger gjort etter 28 dager","")</f>
        <v/>
      </c>
      <c r="AV74" s="4" t="str">
        <f>IF($Q$63=TRUE,"ISO 16000","")</f>
        <v/>
      </c>
      <c r="AW74" s="4" t="str">
        <f>IF($Q$63=TRUE,"8.","")</f>
        <v/>
      </c>
      <c r="AX74" s="4" t="str">
        <f>IF($Q$63=TRUE,"Undertegnede kan bekrefte at produktet ikke inneholder asbest","")</f>
        <v/>
      </c>
      <c r="AY74" s="4" t="str">
        <f>IF($Q$63=TRUE,"NS-EN 13964:2004","")</f>
        <v/>
      </c>
      <c r="AZ74" s="4"/>
      <c r="BA74" s="4"/>
      <c r="BB74" s="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row>
    <row r="75" spans="1:124" ht="15" customHeight="1">
      <c r="A75" s="14"/>
      <c r="B75" s="14"/>
      <c r="C75" s="14"/>
      <c r="D75" s="27"/>
      <c r="E75" s="27"/>
      <c r="F75" s="27"/>
      <c r="G75" s="27"/>
      <c r="H75" s="27"/>
      <c r="I75" s="27"/>
      <c r="J75" s="14"/>
      <c r="K75" s="28"/>
      <c r="L75" s="28"/>
      <c r="M75" s="28"/>
      <c r="N75" s="14"/>
      <c r="O75" s="14"/>
      <c r="P75" s="14"/>
      <c r="T75" s="7" t="str">
        <f>IF(Q64=TRUE,"trekonstruksjoner",IF(R64=TRUE,"vinduer og ytterdører",IF(S64=TRUE,"vinduer og ytterdører","")))</f>
        <v/>
      </c>
      <c r="U75" s="7" t="str">
        <f>IF($Q$64=TRUE,"1.a",IF(R64=TRUE,"1.",IF(S64=TRUE,"1.","")))</f>
        <v/>
      </c>
      <c r="V75" s="7" t="str">
        <f>IF($Q$64=TRUE,"Produktet kan klassifiseres som E1 iht. testmetode EN 717-1:2004",IF(R64=TRUE,"PFOS/PFOA",IF(S64=TRUE,"PFOS/PFOA","")))</f>
        <v/>
      </c>
      <c r="W75" s="7" t="str">
        <f>IF($Q$64=TRUE,"EN 14080:2005
EN 717-1:2004","")</f>
        <v/>
      </c>
      <c r="X75" s="4" t="str">
        <f>IF($Q$64=TRUE,"1.b",IF(R64=TRUE,"2.",IF(S64=TRUE,"2.","")))</f>
        <v/>
      </c>
      <c r="Y75" s="4" t="str">
        <f>IF($Q$64=TRUE,"Undertegnede kan bekrefte at produktet ikke er tilsatt noen materialer som inneholder formaldehyd under produksjon eller ved bearbeiding etter produksjonen. Disse kan klassifiseres som E1 uten prøving",IF(R64=TRUE,"Bromerte flammehemmere (HBCDD, TBBPA)",IF(S64=TRUE,"Bromerte flammehemmere (HBCDD, TBBPA)","")))</f>
        <v/>
      </c>
      <c r="Z75" s="4" t="str">
        <f>IF($Q$64=TRUE,"Se NS-EN 14080:2005 for detaljert informasjon om dette","")</f>
        <v/>
      </c>
      <c r="AB75" s="4" t="str">
        <f>IF($Q$64=TRUE,"2.",IF(R64=TRUE,"3.",IF(S64=TRUE,"3.","")))</f>
        <v/>
      </c>
      <c r="AC75" s="4" t="str">
        <f>IF($Q$64=TRUE,"Produktet har en emisjonstest som viser at emisjoner av TVOC er under 0,2 mg/m²h",IF($R$64=TRUE,"Ftalat DEHP",IF($S$64=TRUE,"Ftalatene DEHP, BBP og DBP","")))</f>
        <v/>
      </c>
      <c r="AD75" s="4" t="str">
        <f>IF($Q$64=TRUE,"NS-EN 15251:2007 (Tillegg C)","")</f>
        <v/>
      </c>
      <c r="AE75" s="4" t="str">
        <f>IF($Q$64=TRUE,"3.",IF(R64=TRUE,"4.",IF(S64=TRUE,"4.","")))</f>
        <v/>
      </c>
      <c r="AF75" s="4" t="str">
        <f>IF($Q$64=TRUE,"Produktet har ikke en emisjonstest som måler emisjoner av ammoniakk, men undertegnede kan bekrefte at ammoniakk ikke er sporbart aktivt i produktet, og at produktet ikke inneholder stoffer som kan avspaltes til ammoniakk",IF(R64=TRUE,"Klorparafiner",IF(S64=TRUE,"Klorparafiner","")))</f>
        <v/>
      </c>
      <c r="AG75" s="4" t="str">
        <f>IF($Q$64=TRUE,"","")</f>
        <v/>
      </c>
      <c r="AH75" s="4" t="str">
        <f>IF($Q$64=TRUE,"4.a",IF(R64=TRUE,"5.",IF(S64=TRUE,"5.","")))</f>
        <v/>
      </c>
      <c r="AI75" s="4" t="str">
        <f>IF($Q$64=TRUE,"Produktet har en emisjonstest som viser at emisjoner av ammoniakk er under 0,03 mg/m²h",IF(R64=TRUE,"Oktyl-/nonylfenoler",IF(S64=TRUE,"Oktyl-/nonylfenoler","")))</f>
        <v/>
      </c>
      <c r="AJ75" s="4" t="str">
        <f>IF($Q$64=TRUE,"NS-EN 15251:2007 (Tillegg C)","")</f>
        <v/>
      </c>
      <c r="AK75" s="4" t="str">
        <f>IF($Q$64=TRUE,"4.b",IF(R64=TRUE,"6.",IF(S64=TRUE,"6.","")))</f>
        <v/>
      </c>
      <c r="AL75" s="4" t="str">
        <f>IF($Q$64=TRUE,"Produktet har en emisjonstest som viser at misnøye med lukt er under 15%. Gjelder kun hvis relevant for produktet",IF(R64=TRUE,"Bisfenol A",IF(S64=TRUE,"Bisfenol A","")))</f>
        <v/>
      </c>
      <c r="AM75" s="4" t="str">
        <f>IF($Q$64=TRUE,"NS-EN 15251:2007 (Tillegg C)","")</f>
        <v/>
      </c>
      <c r="AN75" s="4" t="str">
        <f>IF($Q$64=TRUE,"5.","")</f>
        <v/>
      </c>
      <c r="AO75" s="4" t="str">
        <f>IF($Q$64=TRUE,"Produktet har en emisjonstest som viser at emisjoner av kreftfremkallende forbindelser (IARC) er under 0,005 mg/m²h","")</f>
        <v/>
      </c>
      <c r="AP75" s="4" t="str">
        <f>IF($Q$64=TRUE,"NS-EN 15251:2007 (Tillegg C)","")</f>
        <v/>
      </c>
      <c r="AQ75" s="4" t="str">
        <f>IF($Q$64=TRUE,"6.","")</f>
        <v/>
      </c>
      <c r="AR75" s="4" t="str">
        <f>IF($Q$64=TRUE,"Produktet har en emisjonstest som viser at emisjoner av formaldehyd er under 0,05 mg/m²h","")</f>
        <v/>
      </c>
      <c r="AS75" s="4" t="str">
        <f>IF($Q$64=TRUE,"NS-EN 15251:2007 (Tillegg C)","")</f>
        <v/>
      </c>
      <c r="AT75" s="4" t="str">
        <f>IF($Q$64=TRUE,"7.","")</f>
        <v/>
      </c>
      <c r="AU75" s="4" t="str">
        <f>IF($Q$64=TRUE,"Testene i punkt 2–6 er utført iht. ISO 16000-serien med målinger gjort etter 28 dager","")</f>
        <v/>
      </c>
      <c r="AV75" s="4" t="str">
        <f>IF($Q$64=TRUE,"ISO 16000","")</f>
        <v/>
      </c>
      <c r="AW75" s="4"/>
      <c r="AX75" s="4"/>
      <c r="AY75" s="4"/>
      <c r="AZ75" s="4"/>
      <c r="BA75" s="4"/>
      <c r="BB75" s="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row>
    <row r="76" spans="1:124" s="1" customFormat="1" ht="15" hidden="1" customHeight="1">
      <c r="A76" s="111"/>
      <c r="B76" s="111"/>
      <c r="C76" s="112"/>
      <c r="D76" s="112"/>
      <c r="E76" s="112"/>
      <c r="F76" s="112"/>
      <c r="G76" s="112"/>
      <c r="H76" s="112"/>
      <c r="I76" s="112"/>
      <c r="J76" s="111"/>
      <c r="K76" s="113"/>
      <c r="L76" s="113"/>
      <c r="M76" s="113"/>
      <c r="N76" s="111"/>
      <c r="O76" s="111"/>
      <c r="P76" s="111"/>
      <c r="Q76" s="3"/>
      <c r="R76" s="3"/>
      <c r="S76" s="3"/>
      <c r="T76" s="7" t="str">
        <f>IF(Q65=TRUE,"maling og lakk",IF(R65=TRUE,"vinyl gulvbelegg",IF(S65=TRUE,"vinyl gulvbelegg","")))</f>
        <v/>
      </c>
      <c r="U76" s="7" t="str">
        <f>IF($Q$65=TRUE,"1.",IF(R65=TRUE,"1.",IF(S65=TRUE,"1.","")))</f>
        <v/>
      </c>
      <c r="V76" s="7" t="str">
        <f>IF($Q$65=TRUE,"Emisjonstestene av maling er utført iht. ISO 16000-9 eller ISO 16000-10, og emisjonene som er oppgitt er fra målinger gjort etter 3 døgn",IF(R65=TRUE,"Bly",IF(S65=TRUE,"Bly","")))</f>
        <v/>
      </c>
      <c r="W76" s="7" t="str">
        <f>IF($Q$65=TRUE,"","")</f>
        <v/>
      </c>
      <c r="X76" s="4" t="str">
        <f>IF($Q$65=TRUE,"2.",IF($R$65=TRUE,"2.",IF(S65=TRUE,"2.","")))</f>
        <v/>
      </c>
      <c r="Y76" s="4" t="str">
        <f>IF($Q$65=TRUE,"Malingen/lakken tilfredsstiller VOC-direktivet: Directive 2004/42/CE",IF(R65=TRUE,"Bromerte flammehemmere (HBCD, TBBPA)",IF(S65=TRUE,"Bromerte flammehemmere (HBCD, TBBPA)","")))</f>
        <v/>
      </c>
      <c r="Z76" s="4" t="str">
        <f>IF($Q$64=TRUE,"","")</f>
        <v/>
      </c>
      <c r="AA76" s="3"/>
      <c r="AB76" s="4" t="str">
        <f>IF(R65=TRUE,"3.",IF(S65=TRUE,"3.",""))</f>
        <v/>
      </c>
      <c r="AC76" s="4" t="str">
        <f>IF(R65=TRUE,"Ftalat DEHP",IF(S65=TRUE,"Ftalatene DEHP, BBP og DBP",""))</f>
        <v/>
      </c>
      <c r="AD76" s="4"/>
      <c r="AE76" s="4" t="str">
        <f>IF(R65=TRUE,"4.",IF(S65=TRUE,"4.",""))</f>
        <v/>
      </c>
      <c r="AF76" s="4" t="str">
        <f>IF(R65=TRUE,"Bisfenol A",IF(S65=TRUE,"Bisfenol A",""))</f>
        <v/>
      </c>
      <c r="AG76" s="4"/>
      <c r="AH76" s="4" t="str">
        <f>IF($R$65=TRUE,"5.",IF(S65=TRUE,"5.",""))</f>
        <v/>
      </c>
      <c r="AI76" s="4" t="str">
        <f>IF(R65=TRUE,"Mellomkjedede klorparafiner",IF(S65=TRUE,"Mellomkjedede klorparafiner",""))</f>
        <v/>
      </c>
      <c r="AJ76" s="4"/>
      <c r="AK76" s="4" t="str">
        <f>IF($R$65=TRUE,"6.","")</f>
        <v/>
      </c>
      <c r="AL76" s="4" t="str">
        <f>IF($R$65=TRUE,"Tris(2-kloretyl)fosfat (TCEP)","")</f>
        <v/>
      </c>
      <c r="AM76" s="4"/>
      <c r="AN76" s="4"/>
      <c r="AO76" s="4"/>
      <c r="AP76" s="4"/>
      <c r="AQ76" s="4"/>
      <c r="AR76" s="4"/>
      <c r="AS76" s="4"/>
      <c r="AT76" s="4"/>
      <c r="AU76" s="4"/>
      <c r="AV76" s="4"/>
      <c r="AW76" s="4"/>
      <c r="AX76" s="4"/>
      <c r="AY76" s="4"/>
      <c r="AZ76" s="4"/>
      <c r="BA76" s="4"/>
      <c r="BB76" s="4"/>
      <c r="BC76" s="3"/>
      <c r="BD76" s="3"/>
      <c r="BE76" s="3"/>
      <c r="BF76" s="3"/>
      <c r="BG76" s="3"/>
      <c r="BH76" s="111"/>
      <c r="BI76" s="111"/>
      <c r="BJ76" s="111"/>
      <c r="BK76" s="111"/>
      <c r="BL76" s="111"/>
      <c r="BM76" s="111"/>
      <c r="BN76" s="111"/>
      <c r="BO76" s="111"/>
      <c r="BP76" s="111"/>
      <c r="BQ76" s="111"/>
      <c r="BR76" s="111"/>
      <c r="BS76" s="111"/>
      <c r="BT76" s="111"/>
      <c r="BU76" s="111"/>
      <c r="BV76" s="111"/>
      <c r="BW76" s="111"/>
      <c r="BX76" s="111"/>
      <c r="BY76" s="111"/>
      <c r="BZ76" s="111"/>
      <c r="CA76" s="111"/>
      <c r="CB76" s="111"/>
      <c r="CC76" s="111"/>
      <c r="CD76" s="111"/>
      <c r="CE76" s="111"/>
      <c r="CF76" s="111"/>
      <c r="CG76" s="111"/>
      <c r="CH76" s="111"/>
      <c r="CI76" s="111"/>
      <c r="CJ76" s="111"/>
      <c r="CK76" s="111"/>
      <c r="CL76" s="111"/>
      <c r="CM76" s="111"/>
      <c r="CN76" s="111"/>
      <c r="CO76" s="111"/>
      <c r="CP76" s="111"/>
      <c r="CQ76" s="111"/>
      <c r="CR76" s="111"/>
      <c r="CS76" s="111"/>
      <c r="CT76" s="111"/>
      <c r="CU76" s="111"/>
      <c r="CV76" s="111"/>
      <c r="CW76" s="111"/>
      <c r="CX76" s="111"/>
      <c r="CY76" s="111"/>
      <c r="CZ76" s="111"/>
      <c r="DA76" s="111"/>
      <c r="DB76" s="111"/>
      <c r="DC76" s="111"/>
      <c r="DD76" s="111"/>
      <c r="DE76" s="111"/>
      <c r="DF76" s="111"/>
      <c r="DG76" s="111"/>
      <c r="DH76" s="111"/>
      <c r="DI76" s="111"/>
      <c r="DJ76" s="111"/>
      <c r="DK76" s="111"/>
      <c r="DL76" s="111"/>
      <c r="DM76" s="111"/>
      <c r="DN76" s="111"/>
      <c r="DO76" s="111"/>
      <c r="DP76" s="111"/>
      <c r="DQ76" s="111"/>
      <c r="DR76" s="111"/>
      <c r="DS76" s="111"/>
      <c r="DT76" s="111"/>
    </row>
    <row r="77" spans="1:124" s="1" customFormat="1" ht="15" hidden="1" customHeight="1">
      <c r="A77" s="111"/>
      <c r="B77" s="111"/>
      <c r="C77" s="112"/>
      <c r="D77" s="112"/>
      <c r="E77" s="112"/>
      <c r="F77" s="112"/>
      <c r="G77" s="112"/>
      <c r="H77" s="112"/>
      <c r="I77" s="112"/>
      <c r="J77" s="111"/>
      <c r="K77" s="113"/>
      <c r="L77" s="113"/>
      <c r="M77" s="113"/>
      <c r="N77" s="111"/>
      <c r="O77" s="111"/>
      <c r="P77" s="111"/>
      <c r="Q77" s="3"/>
      <c r="R77" s="3"/>
      <c r="S77" s="3"/>
      <c r="T77" s="7" t="str">
        <f>IF(Q66=TRUE,"tregulv og parkett",IF(R66=TRUE,"XPS, EPS og cellegummi",IF(S66=TRUE,"XPS, EPS og cellegummi","")))</f>
        <v/>
      </c>
      <c r="U77" s="7" t="str">
        <f>IF($Q$66=TRUE,"1.a",IF(R66=TRUE,"1.",IF(S66=TRUE,"1.","")))</f>
        <v/>
      </c>
      <c r="V77" s="7" t="str">
        <f>IF($Q$66=TRUE,"Produktet kan klassifiseres som E1 iht. testmetode EN 717-1:2004",IF(R66=TRUE,"Bromerte flammehemmerne (HBCDD, TBBPA)",IF(S66=TRUE,"Flammehemmerne HBCDD, TBBPA","")))</f>
        <v/>
      </c>
      <c r="W77" s="7" t="str">
        <f>IF($Q$66=TRUE,"EN 14342:2005
EN 717-1:2004","")</f>
        <v/>
      </c>
      <c r="X77" s="4" t="str">
        <f>IF($Q$66=TRUE,"1.b","")</f>
        <v/>
      </c>
      <c r="Y77" s="4" t="str">
        <f>IF($Q$66=TRUE,"Undertegnede kan bekrefte at produktet ikke er tilsatt noen materialer som inneholder formaldehyd under produksjon eller ved bearbeiding etter produksjonen. Disse kan klassifiseres som E1 uten prøving","")</f>
        <v/>
      </c>
      <c r="Z77" s="4" t="str">
        <f>IF($Q$66=TRUE,"Se NS-EN 14342:2005 for detaljert informasjon om dette.","")</f>
        <v/>
      </c>
      <c r="AA77" s="3"/>
      <c r="AB77" s="4" t="str">
        <f>IF($Q$66=TRUE,"2.","")</f>
        <v/>
      </c>
      <c r="AC77" s="4" t="str">
        <f>IF($Q$66=TRUE,"Produktet har en emisjonstest som viser at emisjoner av TVOC er under 0,2 mg/m²h","")</f>
        <v/>
      </c>
      <c r="AD77" s="4" t="str">
        <f>IF($Q$66=TRUE,"NS-EN 15251:2007 (Tillegg C)","")</f>
        <v/>
      </c>
      <c r="AE77" s="4" t="str">
        <f>IF($Q$66=TRUE,"3.","")</f>
        <v/>
      </c>
      <c r="AF77" s="4" t="str">
        <f>IF($Q$66=TRUE,"Produktet har ikke en emisjonstest som måler emisjoner av ammoniakk, men undertegnede kan bekrefte at ammoniakk ikke er sporbart aktivt i produktet, og at produktet ikke inneholder stoffer som kan avspaltes til ammoniakk","")</f>
        <v/>
      </c>
      <c r="AG77" s="4" t="str">
        <f>IF($Q$66=TRUE,"","")</f>
        <v/>
      </c>
      <c r="AH77" s="4" t="str">
        <f>IF($Q$66=TRUE,"4.a","")</f>
        <v/>
      </c>
      <c r="AI77" s="4" t="str">
        <f>IF($Q$66=TRUE,"Produktet har en emisjonstest som viser at emisjoner av ammoniakk er under 0,03 mg/m²h","")</f>
        <v/>
      </c>
      <c r="AJ77" s="4" t="str">
        <f>IF($Q$66=TRUE,"NS-EN 15251:2007 (Tillegg C)","")</f>
        <v/>
      </c>
      <c r="AK77" s="4" t="str">
        <f>IF($Q$66=TRUE,"4.b","")</f>
        <v/>
      </c>
      <c r="AL77" s="4" t="str">
        <f>IF($Q$66=TRUE,"Produktet har en emisjonstest som viser at misnøye med lukt er under 15%. Gjelder kun hvis relevant for produktet","")</f>
        <v/>
      </c>
      <c r="AM77" s="4" t="str">
        <f>IF($Q$66=TRUE,"NS-EN 15251:2007 (Tillegg C)","")</f>
        <v/>
      </c>
      <c r="AN77" s="4" t="str">
        <f>IF($Q$66=TRUE,"5.","")</f>
        <v/>
      </c>
      <c r="AO77" s="4" t="str">
        <f>IF($Q$66=TRUE,"Produktet har en emisjonstest som viser at emisjoner av kreftfremkallende forbindelser (IARC) er under 0,005 mg/m²h","")</f>
        <v/>
      </c>
      <c r="AP77" s="4" t="str">
        <f>IF($Q$66=TRUE,"NS-EN 15251:2007 (Tillegg C)","")</f>
        <v/>
      </c>
      <c r="AQ77" s="4" t="str">
        <f>IF($Q$66=TRUE,"6.","")</f>
        <v/>
      </c>
      <c r="AR77" s="4" t="str">
        <f>IF($Q$66=TRUE,"Produktet har en emisjonstest som viser at emisjoner av ammoniakk er under 0,03 mg/m²h","")</f>
        <v/>
      </c>
      <c r="AS77" s="4" t="str">
        <f>IF($Q$66=TRUE,"NS-EN 15251:2007 (Tillegg C)","")</f>
        <v/>
      </c>
      <c r="AT77" s="4" t="str">
        <f>IF($Q$66=TRUE,"7.","")</f>
        <v/>
      </c>
      <c r="AU77" s="4" t="str">
        <f>IF($Q$66=TRUE,"Testene i punkt 2–6 er utført iht. ISO 16000-serien med målinger gjort etter 28 dager","")</f>
        <v/>
      </c>
      <c r="AV77" s="4" t="str">
        <f>IF($Q$66=TRUE,"ISO 16000","")</f>
        <v/>
      </c>
      <c r="AW77" s="4" t="str">
        <f>IF($Q$66=TRUE,"8.","")</f>
        <v/>
      </c>
      <c r="AX77" s="4" t="str">
        <f>IF($Q$66=TRUE,"Undertegnede kan bekrefte fravær av regulerte treimpregneringsmidler og at minimumsnivå er overholdt","")</f>
        <v/>
      </c>
      <c r="AY77" s="4" t="str">
        <f>IF($Q$66=TRUE,"NS-EN 14342:2005","")</f>
        <v/>
      </c>
      <c r="AZ77" s="4"/>
      <c r="BA77" s="4"/>
      <c r="BB77" s="4"/>
      <c r="BC77" s="3"/>
      <c r="BD77" s="3"/>
      <c r="BE77" s="3"/>
      <c r="BF77" s="3"/>
      <c r="BG77" s="3"/>
      <c r="BH77" s="111"/>
      <c r="BI77" s="111"/>
      <c r="BJ77" s="111"/>
      <c r="BK77" s="111"/>
      <c r="BL77" s="111"/>
      <c r="BM77" s="111"/>
      <c r="BN77" s="111"/>
      <c r="BO77" s="111"/>
      <c r="BP77" s="111"/>
      <c r="BQ77" s="111"/>
      <c r="BR77" s="111"/>
      <c r="BS77" s="111"/>
      <c r="BT77" s="111"/>
      <c r="BU77" s="111"/>
      <c r="BV77" s="111"/>
      <c r="BW77" s="111"/>
      <c r="BX77" s="111"/>
      <c r="BY77" s="111"/>
      <c r="BZ77" s="111"/>
      <c r="CA77" s="111"/>
      <c r="CB77" s="111"/>
      <c r="CC77" s="111"/>
      <c r="CD77" s="111"/>
      <c r="CE77" s="111"/>
      <c r="CF77" s="111"/>
      <c r="CG77" s="111"/>
      <c r="CH77" s="111"/>
      <c r="CI77" s="111"/>
      <c r="CJ77" s="111"/>
      <c r="CK77" s="111"/>
      <c r="CL77" s="111"/>
      <c r="CM77" s="111"/>
      <c r="CN77" s="111"/>
      <c r="CO77" s="111"/>
      <c r="CP77" s="111"/>
      <c r="CQ77" s="111"/>
      <c r="CR77" s="111"/>
      <c r="CS77" s="111"/>
      <c r="CT77" s="111"/>
      <c r="CU77" s="111"/>
      <c r="CV77" s="111"/>
      <c r="CW77" s="111"/>
      <c r="CX77" s="111"/>
      <c r="CY77" s="111"/>
      <c r="CZ77" s="111"/>
      <c r="DA77" s="111"/>
      <c r="DB77" s="111"/>
      <c r="DC77" s="111"/>
      <c r="DD77" s="111"/>
      <c r="DE77" s="111"/>
      <c r="DF77" s="111"/>
      <c r="DG77" s="111"/>
      <c r="DH77" s="111"/>
      <c r="DI77" s="111"/>
      <c r="DJ77" s="111"/>
      <c r="DK77" s="111"/>
      <c r="DL77" s="111"/>
      <c r="DM77" s="111"/>
      <c r="DN77" s="111"/>
      <c r="DO77" s="111"/>
      <c r="DP77" s="111"/>
      <c r="DQ77" s="111"/>
      <c r="DR77" s="111"/>
      <c r="DS77" s="111"/>
      <c r="DT77" s="111"/>
    </row>
    <row r="78" spans="1:124" s="1" customFormat="1" ht="15" hidden="1" customHeight="1">
      <c r="A78" s="111"/>
      <c r="B78" s="111"/>
      <c r="C78" s="111"/>
      <c r="D78" s="111"/>
      <c r="E78" s="111"/>
      <c r="F78" s="111"/>
      <c r="G78" s="111"/>
      <c r="H78" s="111"/>
      <c r="I78" s="111"/>
      <c r="J78" s="113"/>
      <c r="K78" s="113"/>
      <c r="L78" s="111"/>
      <c r="M78" s="111"/>
      <c r="N78" s="111"/>
      <c r="O78" s="111"/>
      <c r="P78" s="111"/>
      <c r="Q78" s="3"/>
      <c r="R78" s="3"/>
      <c r="S78" s="3"/>
      <c r="T78" s="7" t="str">
        <f>IF(Q67=TRUE,"trepanel","")</f>
        <v/>
      </c>
      <c r="U78" s="7" t="str">
        <f>IF($Q$67=TRUE,"1.a",IF($R$67=TRUE,"1.",IF($S$67=TRUE,"1.","")))</f>
        <v/>
      </c>
      <c r="V78" s="7" t="str">
        <f>IF($Q$67=TRUE,"Produktet kan klassifiseres som E1 iht. testmetode EN 717-1:2004",IF($R$67=TRUE,"Bisfenol A",IF($S$67=TRUE,"Bisfenol A","")))</f>
        <v/>
      </c>
      <c r="W78" s="7" t="str">
        <f>IF($Q$67=TRUE,"EN 13986:2002
EN 717-1:2004","")</f>
        <v/>
      </c>
      <c r="X78" s="4" t="str">
        <f>IF($Q$67=TRUE,"1.b",IF($R$67=TRUE,"2.",IF($S$67=TRUE,"2.","")))</f>
        <v/>
      </c>
      <c r="Y78" s="4" t="str">
        <f>IF($Q$67=TRUE,"Undertegnede kan bekrefte at produktet ikke er tilsatt noen materialer som inneholder formaldehyd under produksjon eller ved bearbeiding etter produksjonen. Disse kan klassifiseres som E1 uten prøving",IF($R$67=TRUE,"Ftalat DEHP",IF($S$67=TRUE,"Ftalatene DEHP, BBP og DBP","")))</f>
        <v/>
      </c>
      <c r="Z78" s="4" t="str">
        <f>IF($Q$67=TRUE,"Se NS-EN 13986:2002 for detaljert informasjon om dette","")</f>
        <v/>
      </c>
      <c r="AA78" s="3"/>
      <c r="AB78" s="4" t="str">
        <f>IF($Q$67=TRUE,"2.",IF($R$67=TRUE,"3.",IF($S$67=TRUE,"3.","")))</f>
        <v/>
      </c>
      <c r="AC78" s="4" t="str">
        <f>IF($Q$67=TRUE,"Produktet har en emisjonstest som viser at emisjoner av TVOC er under 0,2 mg/m²h",IF($R$67=TRUE,"Mellomkjedede klorparafiner",IF($S$67=TRUE,"Klorparafiner","")))</f>
        <v/>
      </c>
      <c r="AD78" s="4" t="str">
        <f>IF($Q$67=TRUE,"NS-EN 15251:2007 (Tillegg C)","")</f>
        <v/>
      </c>
      <c r="AE78" s="4" t="str">
        <f>IF($Q$67=TRUE,"3.",IF($R$67=TRUE,"4.",IF($S$67=TRUE,"4.","")))</f>
        <v/>
      </c>
      <c r="AF78" s="4" t="str">
        <f>IF($Q$67=TRUE,"Produktet har ikke en emisjonstest som måler emisjoner av ammoniakk, men undertegnede kan bekrefte at ammoniakk ikke er sporbart aktivt i produktet, og at produktet ikke inneholder stoffer som kan avspaltes til ammoniakk",IF($R$67=TRUE,"Krom",IF($S$67=TRUE,"Krom","")))</f>
        <v/>
      </c>
      <c r="AG78" s="4" t="str">
        <f>IF($Q$67=TRUE,"","")</f>
        <v/>
      </c>
      <c r="AH78" s="4" t="str">
        <f>IF($Q$67=TRUE,"4.a",IF($R$67=TRUE,"5.",IF($S$67=TRUE,"5.","")))</f>
        <v/>
      </c>
      <c r="AI78" s="4" t="str">
        <f>IF($Q$67=TRUE,"Produktet har en emisjonstest som viser at emisjoner av ammoniakk er under 0,03 mg/m²h",IF($R$67=TRUE,"Oktyl-nonylfenoler",IF($S$67=TRUE,"Oktyl-nonylfenoler","")))</f>
        <v/>
      </c>
      <c r="AJ78" s="4" t="str">
        <f>IF($Q$67=TRUE,"NS-EN 15251:2007 (Tillegg C)","")</f>
        <v/>
      </c>
      <c r="AK78" s="4" t="str">
        <f>IF($Q$67=TRUE,"4.b",IF($R$67=TRUE,"6.",""))</f>
        <v/>
      </c>
      <c r="AL78" s="4" t="str">
        <f>IF($Q$67=TRUE,"Produktet har en emisjonstest som viser at misnøye med lukt er under 15%. Gjelder kun hvis relevant for produktet",IF($R$67=TRUE,"Tris(2-kloretyl)fosfat (TCEP)",""))</f>
        <v/>
      </c>
      <c r="AM78" s="4" t="str">
        <f>IF($Q$67=TRUE,"NS-EN 15251:2007 (Tillegg C)","")</f>
        <v/>
      </c>
      <c r="AN78" s="4" t="str">
        <f>IF($Q$67=TRUE,"5.","")</f>
        <v/>
      </c>
      <c r="AO78" s="4" t="str">
        <f>IF($Q$67=TRUE,"Produktet har en emisjonstest som viser at emisjoner av kreftfremkallende forbindelser (IARC) er under 0,005 mg/m²h","")</f>
        <v/>
      </c>
      <c r="AP78" s="4" t="str">
        <f>IF($Q$67=TRUE,"NS-EN 15251:2007 (Tillegg C)","")</f>
        <v/>
      </c>
      <c r="AQ78" s="4" t="str">
        <f>IF($Q$67=TRUE,"6.","")</f>
        <v/>
      </c>
      <c r="AR78" s="4" t="str">
        <f>IF($Q$67=TRUE,"Produktet har en emisjonstest som viser at emisjoner av formaldehyd er under 0,05 mg/m²h","")</f>
        <v/>
      </c>
      <c r="AS78" s="4" t="str">
        <f>IF($Q$67=TRUE,"NS-EN 15251:2007 (Tillegg C)","")</f>
        <v/>
      </c>
      <c r="AT78" s="4" t="str">
        <f>IF($Q$67=TRUE,"7.","")</f>
        <v/>
      </c>
      <c r="AU78" s="4" t="str">
        <f>IF($Q$67=TRUE,"Testene i punkt 2–6 er utført iht. ISO 16000-serien med målinger gjort etter 28 dager","")</f>
        <v/>
      </c>
      <c r="AV78" s="4" t="str">
        <f>IF($Q$67=TRUE,"ISO 16000","")</f>
        <v/>
      </c>
      <c r="AW78" s="4" t="str">
        <f>IF($Q$67=TRUE,"8.","")</f>
        <v/>
      </c>
      <c r="AX78" s="4" t="str">
        <f>IF($Q$67=TRUE,"Undertegnede kan bekrefte fravær av regulerte treimpregneringsmidler og at minimumsnivå er overholdt","")</f>
        <v/>
      </c>
      <c r="AY78" s="4" t="str">
        <f>IF($Q$67=TRUE,"NS-EN 13986:2002","")</f>
        <v/>
      </c>
      <c r="AZ78" s="4"/>
      <c r="BA78" s="4"/>
      <c r="BB78" s="4"/>
      <c r="BC78" s="3"/>
      <c r="BD78" s="3"/>
      <c r="BE78" s="3"/>
      <c r="BF78" s="3"/>
      <c r="BG78" s="3"/>
      <c r="BH78" s="111"/>
      <c r="BI78" s="111"/>
      <c r="BJ78" s="111"/>
      <c r="BK78" s="111"/>
      <c r="BL78" s="111"/>
      <c r="BM78" s="111"/>
      <c r="BN78" s="111"/>
      <c r="BO78" s="111"/>
      <c r="BP78" s="111"/>
      <c r="BQ78" s="111"/>
      <c r="BR78" s="111"/>
      <c r="BS78" s="111"/>
      <c r="BT78" s="111"/>
      <c r="BU78" s="111"/>
      <c r="BV78" s="111"/>
      <c r="BW78" s="111"/>
      <c r="BX78" s="111"/>
      <c r="BY78" s="111"/>
      <c r="BZ78" s="111"/>
      <c r="CA78" s="111"/>
      <c r="CB78" s="111"/>
      <c r="CC78" s="111"/>
      <c r="CD78" s="111"/>
      <c r="CE78" s="111"/>
      <c r="CF78" s="111"/>
      <c r="CG78" s="111"/>
      <c r="CH78" s="111"/>
      <c r="CI78" s="111"/>
      <c r="CJ78" s="111"/>
      <c r="CK78" s="111"/>
      <c r="CL78" s="111"/>
      <c r="CM78" s="111"/>
      <c r="CN78" s="111"/>
      <c r="CO78" s="111"/>
      <c r="CP78" s="111"/>
      <c r="CQ78" s="111"/>
      <c r="CR78" s="111"/>
      <c r="CS78" s="111"/>
      <c r="CT78" s="111"/>
      <c r="CU78" s="111"/>
      <c r="CV78" s="111"/>
      <c r="CW78" s="111"/>
      <c r="CX78" s="111"/>
      <c r="CY78" s="111"/>
      <c r="CZ78" s="111"/>
      <c r="DA78" s="111"/>
      <c r="DB78" s="111"/>
      <c r="DC78" s="111"/>
      <c r="DD78" s="111"/>
      <c r="DE78" s="111"/>
      <c r="DF78" s="111"/>
      <c r="DG78" s="111"/>
      <c r="DH78" s="111"/>
      <c r="DI78" s="111"/>
      <c r="DJ78" s="111"/>
      <c r="DK78" s="111"/>
      <c r="DL78" s="111"/>
      <c r="DM78" s="111"/>
      <c r="DN78" s="111"/>
      <c r="DO78" s="111"/>
      <c r="DP78" s="111"/>
      <c r="DQ78" s="111"/>
      <c r="DR78" s="111"/>
      <c r="DS78" s="111"/>
      <c r="DT78" s="111"/>
    </row>
    <row r="79" spans="1:124" ht="15" customHeight="1">
      <c r="A79" s="14"/>
      <c r="B79" s="14"/>
      <c r="C79" s="19" t="str">
        <f>IF(O46=2,"Stoffer som skal unngås:",IF(O46=3,"Dokumentasjonskrav:",""))</f>
        <v/>
      </c>
      <c r="D79" s="19"/>
      <c r="E79" s="14"/>
      <c r="F79" s="14"/>
      <c r="G79" s="14"/>
      <c r="H79" s="14"/>
      <c r="I79" s="19" t="str">
        <f>IF(O46=1,"",IF(O46=2,"",IF(T57=TRUE,"","Standard:")))</f>
        <v/>
      </c>
      <c r="J79" s="124" t="str">
        <f>IF(O46=2,"Finnes stoffet i produktet?",IF(O46=3,"Bekreftes:",""))</f>
        <v/>
      </c>
      <c r="K79" s="124"/>
      <c r="L79" s="19" t="str">
        <f>IF(O46=1,"","Kommentar:")</f>
        <v/>
      </c>
      <c r="M79" s="14"/>
      <c r="N79" s="14"/>
      <c r="O79" s="14"/>
      <c r="P79" s="14"/>
      <c r="T79" s="7" t="str">
        <f>IF(Q68=TRUE,"veggkledninger","")</f>
        <v/>
      </c>
      <c r="U79" s="7" t="str">
        <f>IF($Q$68=TRUE,"1.",IF($R$68=TRUE,"1.",IF($S$68=TRUE,"1.","")))</f>
        <v/>
      </c>
      <c r="V79" s="7" t="str">
        <f>IF($Q$68=TRUE,"Produktet har en emisjonstest som viser at emisjoner av TVOC er under 0,2 mg/m²h",IF($R$68=TRUE,"Bisfenol A",IF($S$68=TRUE,"Bisfenol A","")))</f>
        <v/>
      </c>
      <c r="W79" s="7" t="str">
        <f>IF($Q$68=TRUE,"NS-EN 15251:2007 (Tillegg C)","")</f>
        <v/>
      </c>
      <c r="X79" s="4" t="str">
        <f>IF($Q$68=TRUE,"2.",IF($R$68=TRUE,"2.",IF($S$68=TRUE,"2.","")))</f>
        <v/>
      </c>
      <c r="Y79" s="4" t="str">
        <f>IF($Q$68=TRUE,"Produktet har en emisjonstest som viser at emisjoner av formaldehyd er under 0,05 mg/m²h",IF($R$68=TRUE,"Ftalat DEHP",IF($S$68=TRUE,"Ftalatene DEHP, BBP og DBP","")))</f>
        <v/>
      </c>
      <c r="Z79" s="4" t="str">
        <f>IF($Q$68=TRUE,"NS-EN 15251:2007 (Tillegg C)","")</f>
        <v/>
      </c>
      <c r="AB79" s="4" t="str">
        <f>IF($Q$68=TRUE,"3.a",IF($R$68=TRUE,"3.",IF($S$68=TRUE,"3.","")))</f>
        <v/>
      </c>
      <c r="AC79" s="4" t="str">
        <f>IF($Q$68=TRUE,"Produktet har en emisjonstest som viser at emisjoner av ammoniakk er under 0,03 mg/m²h",IF($R$68=TRUE,"Mellomkjedede klorparafiner⁾",IF($S$68=TRUE,"Klorparafiner","")))</f>
        <v/>
      </c>
      <c r="AD79" s="4" t="str">
        <f>IF($Q$68=TRUE,"NS-EN 15251:2007 (Tillegg C)","")</f>
        <v/>
      </c>
      <c r="AE79" s="4" t="str">
        <f>IF($Q$68=TRUE,"3.b",IF($R$68=TRUE,"4.",IF($S$68=TRUE,"4.","")))</f>
        <v/>
      </c>
      <c r="AF79" s="4" t="str">
        <f>IF($Q$68=TRUE,"Produktet har ikke en emisjonstest som måler emisjoner av ammoniakk, men undertegnede kan bekrefte at ammoniakk ikke er sporbart aktivt i produktet, og at produktet ikke inneholder stoffer som kan avspaltes til ammoniakk",IF($R$68=TRUE,"Krom",IF($S$68=TRUE,"Krom","")))</f>
        <v/>
      </c>
      <c r="AG79" s="4" t="str">
        <f>IF($Q$68=TRUE,"","")</f>
        <v/>
      </c>
      <c r="AH79" s="4" t="str">
        <f>IF($Q$68=TRUE,"4.",IF($R$68=TRUE,"5.",IF($S$68=TRUE,"5.","")))</f>
        <v/>
      </c>
      <c r="AI79" s="4" t="str">
        <f>IF($Q$68=TRUE,"Produktet har en emisjonstest som viser at emisjoner av kreftfremkallende forbindelser (IARC) er under 0,005 mg/m²h",IF($R$68=TRUE,"Oktyl-nonylfenoler",IF($S$68=TRUE,"Oktyl-nonylfenoler","")))</f>
        <v/>
      </c>
      <c r="AJ79" s="4" t="str">
        <f>IF($Q$68=TRUE,"NS-EN 15251:2007 (Tillegg C)","")</f>
        <v/>
      </c>
      <c r="AK79" s="4" t="str">
        <f>IF($Q$68=TRUE,"5.",IF($R$68=TRUE,"6.",IF($S$68=TRUE,"6.","")))</f>
        <v/>
      </c>
      <c r="AL79" s="4" t="str">
        <f>IF($Q$68=TRUE,"Produktet har en emisjonstest som viser at misnøye med lukt er under 15%. Gjelder kun hvis relevant for produktet",IF($R$68=TRUE,"Siloksan (D4 og D5)",IF($S$68=TRUE,"Siloksan (D5)","")))</f>
        <v/>
      </c>
      <c r="AM79" s="4" t="str">
        <f>IF($Q$68=TRUE,"NS-EN 15251:2007 (Tillegg C)","")</f>
        <v/>
      </c>
      <c r="AN79" s="4" t="str">
        <f>IF($Q$68=TRUE,"6.","")</f>
        <v/>
      </c>
      <c r="AO79" s="4" t="str">
        <f>IF($Q$68=TRUE,"Testene i punkt 1-5 er utført iht. ISO 16000-serien med målinger gjort etter 28 dager","")</f>
        <v/>
      </c>
      <c r="AP79" s="4" t="str">
        <f>IF($Q$68=TRUE,"ISO 16000","")</f>
        <v/>
      </c>
      <c r="AQ79" s="4" t="str">
        <f>IF($Q$68=TRUE,"7.","")</f>
        <v/>
      </c>
      <c r="AR79" s="4" t="str">
        <f>IF($Q$68=TRUE,"Utslippet av formaldehyd og VCM (vinylkloridmonomer) skal være lavt og innenfor EN-standarden for materialet","")</f>
        <v/>
      </c>
      <c r="AS79" s="4" t="str">
        <f>IF($Q$68=TRUE,"EN 233:1999
EN 234:1989
EN 259:2001
EN 266:1992
EN 12149:1997","")</f>
        <v/>
      </c>
      <c r="AT79" s="4" t="str">
        <f>IF($Q$68=TRUE,"8.","")</f>
        <v/>
      </c>
      <c r="AU79" s="4" t="str">
        <f>IF($Q$68=TRUE,"Migrering av tungmetaller og andre giftige stoffer er innenfor EN-standarden for materialet","")</f>
        <v/>
      </c>
      <c r="AV79" s="4" t="str">
        <f>IF($Q$68=TRUE,"EN 12149:1997","")</f>
        <v/>
      </c>
      <c r="AW79" s="4"/>
      <c r="AX79" s="4"/>
      <c r="AY79" s="4"/>
      <c r="AZ79" s="4"/>
      <c r="BA79" s="4"/>
      <c r="BB79" s="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row>
    <row r="80" spans="1:124" ht="15" customHeight="1">
      <c r="A80" s="14"/>
      <c r="B80" s="14"/>
      <c r="C80" s="125" t="str">
        <f>IF($O$58=1,"",$U$70)</f>
        <v/>
      </c>
      <c r="D80" s="128" t="str">
        <f>IF($O$58=1,"",$V$70)</f>
        <v/>
      </c>
      <c r="E80" s="128"/>
      <c r="F80" s="128"/>
      <c r="G80" s="129"/>
      <c r="H80" s="30"/>
      <c r="I80" s="130" t="str">
        <f>IF($O$58=1,"",$W$70)</f>
        <v/>
      </c>
      <c r="J80" s="31"/>
      <c r="K80" s="31"/>
      <c r="L80" s="114"/>
      <c r="M80" s="115"/>
      <c r="N80" s="115"/>
      <c r="O80" s="116"/>
      <c r="P80" s="29"/>
      <c r="U80" s="7" t="str">
        <f>IF($Q$69=TRUE,"1.",IF($R$69=TRUE,"1.",IF($S$69=TRUE,"1.","")))</f>
        <v/>
      </c>
      <c r="V80" s="7" t="str">
        <f>IF($Q$69=TRUE,"Produktet har en emisjonstest som viser at emisjoner av TVOC er under 0,2 mg/m²h",IF($R$69=TRUE,"Bisfenol A",IF($S$69=TRUE,"Bisfenol A","")))</f>
        <v/>
      </c>
      <c r="W80" s="7" t="str">
        <f>IF($Q$69=TRUE,"NS-EN 15251:2007 (Tillegg C)","")</f>
        <v/>
      </c>
      <c r="X80" s="4" t="str">
        <f>IF($Q$69=TRUE,"2.",IF($R$69=TRUE,"2.",IF($S$69=TRUE,"2.","")))</f>
        <v/>
      </c>
      <c r="Y80" s="4" t="str">
        <f>IF($Q$69=TRUE,"Produktet har en emisjonstest som viser at emisjoner av formaldehyd er under 0,05 mg/m²h",IF($R$69=TRUE,"Ftalat DEHP",IF($S$69=TRUE,"Ftalatene DEHP, BBP og DBP","")))</f>
        <v/>
      </c>
      <c r="Z80" s="4" t="str">
        <f>IF($Q$69=TRUE,"NS-EN 15251:2007 (Tillegg C)","")</f>
        <v/>
      </c>
      <c r="AB80" s="4" t="str">
        <f>IF($Q$69=TRUE,"3.a",IF($R$69=TRUE,"3.",IF($S$69=TRUE,"3.","")))</f>
        <v/>
      </c>
      <c r="AC80" s="4" t="str">
        <f>IF($Q$69=TRUE,"Produktet har en emisjonstest som viser at emisjoner av ammoniakk er under 0,03 mg/m²h",IF($R$69=TRUE,"Mellomkjedede klorparafiner",IF($S$69=TRUE,"Klorparafiner","")))</f>
        <v/>
      </c>
      <c r="AD80" s="4"/>
      <c r="AE80" s="4" t="str">
        <f>IF($R$69=TRUE,"4.",IF($S$69=TRUE,"4.",""))</f>
        <v/>
      </c>
      <c r="AF80" s="4" t="str">
        <f>IF($R$69=TRUE,"Krom",IF($S$69=TRUE,"Krom",""))</f>
        <v/>
      </c>
      <c r="AG80" s="4"/>
      <c r="AH80" s="4" t="str">
        <f>IF($Q$69=TRUE,"4.",IF($R$69=TRUE,"5.",IF($S$69=TRUE,"5.","")))</f>
        <v/>
      </c>
      <c r="AI80" s="4" t="str">
        <f>IF($Q$69=TRUE,"Produktet har en emisjonstest som viser at emisjoner av kreftfremkallende forbindelser (IARC) er under 0,005 mg/m²h",IF($R$69=TRUE,"Oktyl-nonylfenoler",IF($S$69=TRUE,"Oktyl-nonylfenoler","")))</f>
        <v/>
      </c>
      <c r="AJ80" s="4"/>
      <c r="AK80" s="4" t="str">
        <f>IF($Q$69=TRUE,"5.",IF($R$69=TRUE,"6.",IF($S$69=TRUE,"6.","")))</f>
        <v/>
      </c>
      <c r="AL80" s="4" t="str">
        <f>IF($Q$69=TRUE,"Produktet har en emisjonstest som viser at misnøye med lukt er under 15%. Gjelder kun hvis relevant for produktet",IF($R$69=TRUE,"Siloksan (D4 og D5)",IF($S$69=TRUE,"Siloksan (D5)","")))</f>
        <v/>
      </c>
      <c r="AM80" s="4"/>
      <c r="AN80" s="4" t="str">
        <f>IF($R$69=TRUE,"7.",IF($S$69=TRUE,"7.",""))</f>
        <v/>
      </c>
      <c r="AO80" s="4" t="str">
        <f>IF($R$69=TRUE,"Kadmium",IF($S$69=TRUE,"Kadmium",""))</f>
        <v/>
      </c>
      <c r="AQ80" s="4" t="str">
        <f>IF($R$69=TRUE,"8.",IF($S$69=TRUE,"8.",""))</f>
        <v/>
      </c>
      <c r="AR80" s="4" t="str">
        <f>IF($R$69=TRUE,"Bly",IF($S$69=TRUE,"Bly",""))</f>
        <v/>
      </c>
      <c r="AT80" s="4" t="str">
        <f>IF($R$69=TRUE,"9.","")</f>
        <v/>
      </c>
      <c r="AU80" s="4" t="str">
        <f>IF($R$69=TRUE,"Tris(2-kloretyl)fosfat (TCEP)","")</f>
        <v/>
      </c>
      <c r="AZ80" s="4"/>
      <c r="BA80" s="4"/>
      <c r="BB80" s="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row>
    <row r="81" spans="1:124" ht="15" customHeight="1">
      <c r="A81" s="14"/>
      <c r="B81" s="14"/>
      <c r="C81" s="126"/>
      <c r="D81" s="130"/>
      <c r="E81" s="130"/>
      <c r="F81" s="130"/>
      <c r="G81" s="131"/>
      <c r="H81" s="30"/>
      <c r="I81" s="130"/>
      <c r="J81" s="14"/>
      <c r="K81" s="14"/>
      <c r="L81" s="117"/>
      <c r="M81" s="118"/>
      <c r="N81" s="118"/>
      <c r="O81" s="119"/>
      <c r="P81" s="29"/>
      <c r="T81" s="91" t="str">
        <f>CONCATENATE(T71,T72,T73,T74,T75,T76,T77,T78,T79,T80)</f>
        <v/>
      </c>
      <c r="U81" s="91" t="str">
        <f t="shared" ref="U81:AY81" si="2">CONCATENATE(U71,U72,U73,U74,U75,U76,U77,U78,U79,U80)</f>
        <v/>
      </c>
      <c r="V81" s="91" t="str">
        <f t="shared" si="2"/>
        <v/>
      </c>
      <c r="W81" s="91" t="str">
        <f t="shared" si="2"/>
        <v/>
      </c>
      <c r="X81" s="91" t="str">
        <f t="shared" si="2"/>
        <v/>
      </c>
      <c r="Y81" s="91" t="str">
        <f t="shared" si="2"/>
        <v/>
      </c>
      <c r="Z81" s="91" t="str">
        <f>CONCATENATE(Z71,Z72,Z73,Z74,Z75,Z76,Z77,Z78,Z79,Z80)</f>
        <v/>
      </c>
      <c r="AA81" s="91"/>
      <c r="AB81" s="91" t="str">
        <f t="shared" si="2"/>
        <v/>
      </c>
      <c r="AC81" s="91" t="str">
        <f t="shared" si="2"/>
        <v/>
      </c>
      <c r="AD81" s="91" t="str">
        <f t="shared" si="2"/>
        <v/>
      </c>
      <c r="AE81" s="91" t="str">
        <f t="shared" si="2"/>
        <v/>
      </c>
      <c r="AF81" s="91" t="str">
        <f t="shared" si="2"/>
        <v/>
      </c>
      <c r="AG81" s="91" t="str">
        <f t="shared" si="2"/>
        <v/>
      </c>
      <c r="AH81" s="91" t="str">
        <f t="shared" si="2"/>
        <v/>
      </c>
      <c r="AI81" s="91" t="str">
        <f t="shared" si="2"/>
        <v/>
      </c>
      <c r="AJ81" s="91" t="str">
        <f t="shared" si="2"/>
        <v/>
      </c>
      <c r="AK81" s="91" t="str">
        <f t="shared" si="2"/>
        <v/>
      </c>
      <c r="AL81" s="91" t="str">
        <f t="shared" si="2"/>
        <v/>
      </c>
      <c r="AM81" s="91" t="str">
        <f t="shared" si="2"/>
        <v/>
      </c>
      <c r="AN81" s="91" t="str">
        <f t="shared" si="2"/>
        <v/>
      </c>
      <c r="AO81" s="91" t="str">
        <f t="shared" si="2"/>
        <v/>
      </c>
      <c r="AP81" s="91" t="str">
        <f t="shared" si="2"/>
        <v/>
      </c>
      <c r="AQ81" s="91" t="str">
        <f t="shared" si="2"/>
        <v/>
      </c>
      <c r="AR81" s="91" t="str">
        <f t="shared" si="2"/>
        <v/>
      </c>
      <c r="AS81" s="91" t="str">
        <f t="shared" si="2"/>
        <v/>
      </c>
      <c r="AT81" s="91" t="str">
        <f t="shared" si="2"/>
        <v/>
      </c>
      <c r="AU81" s="91" t="str">
        <f t="shared" si="2"/>
        <v/>
      </c>
      <c r="AV81" s="91" t="str">
        <f t="shared" si="2"/>
        <v/>
      </c>
      <c r="AW81" s="91" t="str">
        <f t="shared" si="2"/>
        <v/>
      </c>
      <c r="AX81" s="91" t="str">
        <f t="shared" si="2"/>
        <v/>
      </c>
      <c r="AY81" s="91" t="str">
        <f t="shared" si="2"/>
        <v/>
      </c>
      <c r="AZ81" s="4"/>
      <c r="BA81" s="4"/>
      <c r="BB81" s="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row>
    <row r="82" spans="1:124" ht="15" customHeight="1">
      <c r="A82" s="14"/>
      <c r="B82" s="14"/>
      <c r="C82" s="127"/>
      <c r="D82" s="132"/>
      <c r="E82" s="132"/>
      <c r="F82" s="132"/>
      <c r="G82" s="133"/>
      <c r="H82" s="30"/>
      <c r="I82" s="130"/>
      <c r="J82" s="14"/>
      <c r="K82" s="14"/>
      <c r="L82" s="120"/>
      <c r="M82" s="121"/>
      <c r="N82" s="121"/>
      <c r="O82" s="122"/>
      <c r="P82" s="29"/>
      <c r="Q82" s="3">
        <v>2</v>
      </c>
      <c r="R82" s="3" t="str">
        <f>IF(C80="","",IF(Q82=1,TRUE,IF(Q82=2,FALSE,"IR")))</f>
        <v/>
      </c>
      <c r="S82" s="3">
        <f>IF(R82=TRUE,1,IF(R82=FALSE,1,0))</f>
        <v>0</v>
      </c>
      <c r="T82" s="4" t="str">
        <f>IF(R82="","",IF(R82=TRUE,"Ja",IF(R82=FALSE,"Nei","Ikke relevant")))</f>
        <v/>
      </c>
      <c r="U82" s="4"/>
      <c r="V82" s="4"/>
      <c r="W82" s="83"/>
      <c r="Z82" s="84"/>
      <c r="AA82" s="8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row>
    <row r="83" spans="1:124" ht="15" customHeight="1">
      <c r="A83" s="14"/>
      <c r="B83" s="14"/>
      <c r="C83" s="14"/>
      <c r="D83" s="14"/>
      <c r="E83" s="14"/>
      <c r="F83" s="14"/>
      <c r="G83" s="14"/>
      <c r="H83" s="14"/>
      <c r="I83" s="14"/>
      <c r="J83" s="14"/>
      <c r="K83" s="14"/>
      <c r="L83" s="14"/>
      <c r="M83" s="14"/>
      <c r="N83" s="14"/>
      <c r="O83" s="14"/>
      <c r="P83" s="40" t="str">
        <f>IF(BC62=TRUE,"Til utskrift",IF(BC63=TRUE,"Til utskrift",IF(BC66=TRUE,"Til utskrift","")))</f>
        <v/>
      </c>
      <c r="U83" s="3" t="b">
        <f>IF(D80="",FALSE,TRUE)</f>
        <v>0</v>
      </c>
      <c r="V83" s="3" t="b">
        <f>IF(I80="",FALSE,TRUE)</f>
        <v>0</v>
      </c>
      <c r="BH83" s="40"/>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row>
    <row r="84" spans="1:124" ht="15" customHeight="1">
      <c r="A84" s="14"/>
      <c r="B84" s="14"/>
      <c r="C84" s="125" t="str">
        <f>IF($O$58=1,"",$X$70)</f>
        <v/>
      </c>
      <c r="D84" s="128" t="str">
        <f>IF($O$58=1,"",$Y$70)</f>
        <v/>
      </c>
      <c r="E84" s="128"/>
      <c r="F84" s="128"/>
      <c r="G84" s="129"/>
      <c r="H84" s="30"/>
      <c r="I84" s="130" t="str">
        <f>IF($O$58=1,"",$Z$70)</f>
        <v/>
      </c>
      <c r="J84" s="14"/>
      <c r="K84" s="14"/>
      <c r="L84" s="114"/>
      <c r="M84" s="115"/>
      <c r="N84" s="115"/>
      <c r="O84" s="116"/>
      <c r="P84" s="14"/>
      <c r="U84" s="3" t="b">
        <f>IF(D84="",FALSE,TRUE)</f>
        <v>0</v>
      </c>
      <c r="V84" s="3" t="b">
        <f>IF(I84="",FALSE,TRUE)</f>
        <v>0</v>
      </c>
      <c r="W84" s="85"/>
      <c r="Z84" s="84"/>
      <c r="AA84" s="84"/>
      <c r="AB84" s="8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row>
    <row r="85" spans="1:124" ht="15" customHeight="1">
      <c r="A85" s="14"/>
      <c r="B85" s="14"/>
      <c r="C85" s="126"/>
      <c r="D85" s="130"/>
      <c r="E85" s="130"/>
      <c r="F85" s="130"/>
      <c r="G85" s="131"/>
      <c r="H85" s="30"/>
      <c r="I85" s="130"/>
      <c r="J85" s="14"/>
      <c r="K85" s="14"/>
      <c r="L85" s="117"/>
      <c r="M85" s="118"/>
      <c r="N85" s="118"/>
      <c r="O85" s="119"/>
      <c r="P85" s="14"/>
      <c r="U85" s="3" t="b">
        <f>IF(D90="",FALSE,TRUE)</f>
        <v>0</v>
      </c>
      <c r="V85" s="3" t="b">
        <f>IF(I90="",FALSE,TRUE)</f>
        <v>0</v>
      </c>
      <c r="W85" s="86"/>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row>
    <row r="86" spans="1:124" ht="15" customHeight="1">
      <c r="A86" s="14"/>
      <c r="B86" s="14"/>
      <c r="C86" s="126"/>
      <c r="D86" s="130"/>
      <c r="E86" s="130"/>
      <c r="F86" s="130"/>
      <c r="G86" s="131"/>
      <c r="H86" s="30"/>
      <c r="I86" s="130"/>
      <c r="J86" s="14"/>
      <c r="K86" s="14"/>
      <c r="L86" s="117"/>
      <c r="M86" s="118"/>
      <c r="N86" s="118"/>
      <c r="O86" s="119"/>
      <c r="P86" s="14"/>
      <c r="Q86" s="3">
        <v>1</v>
      </c>
      <c r="R86" s="3" t="str">
        <f>IF(C84="","",IF(Q86=1,TRUE,IF(Q86=2,FALSE,"IR")))</f>
        <v/>
      </c>
      <c r="S86" s="3">
        <f>IF(R86=TRUE,1,IF(R86=FALSE,1,0))</f>
        <v>0</v>
      </c>
      <c r="T86" s="3" t="str">
        <f>IF(R86="","",IF(R86=TRUE,"Ja",IF(R86=FALSE,"Nei","Ikke relevant")))</f>
        <v/>
      </c>
      <c r="U86" s="3" t="b">
        <f>IF(D94="",FALSE,TRUE)</f>
        <v>0</v>
      </c>
      <c r="V86" s="3" t="b">
        <f>IF(I94="",FALSE,TRUE)</f>
        <v>0</v>
      </c>
      <c r="BH86" s="40"/>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row>
    <row r="87" spans="1:124">
      <c r="A87" s="14"/>
      <c r="B87" s="14"/>
      <c r="C87" s="126"/>
      <c r="D87" s="130"/>
      <c r="E87" s="130"/>
      <c r="F87" s="130"/>
      <c r="G87" s="131"/>
      <c r="H87" s="30"/>
      <c r="I87" s="130"/>
      <c r="J87" s="14"/>
      <c r="K87" s="14"/>
      <c r="L87" s="117"/>
      <c r="M87" s="118"/>
      <c r="N87" s="118"/>
      <c r="O87" s="119"/>
      <c r="P87" s="14"/>
      <c r="U87" s="3" t="b">
        <f>IF(D101="",FALSE,TRUE)</f>
        <v>0</v>
      </c>
      <c r="V87" s="3" t="b">
        <f>IF(I101="",FALSE,TRUE)</f>
        <v>0</v>
      </c>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row>
    <row r="88" spans="1:124">
      <c r="A88" s="14"/>
      <c r="B88" s="14"/>
      <c r="C88" s="127"/>
      <c r="D88" s="132"/>
      <c r="E88" s="132"/>
      <c r="F88" s="132"/>
      <c r="G88" s="133"/>
      <c r="H88" s="30"/>
      <c r="I88" s="130"/>
      <c r="J88" s="14"/>
      <c r="K88" s="14"/>
      <c r="L88" s="120"/>
      <c r="M88" s="121"/>
      <c r="N88" s="121"/>
      <c r="O88" s="122"/>
      <c r="P88" s="14"/>
      <c r="U88" s="3" t="b">
        <f>IF(D106="",FALSE,TRUE)</f>
        <v>0</v>
      </c>
      <c r="V88" s="3" t="b">
        <f>IF(I106="",FALSE,TRUE)</f>
        <v>0</v>
      </c>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row>
    <row r="89" spans="1:124">
      <c r="A89" s="14"/>
      <c r="B89" s="14"/>
      <c r="C89" s="14"/>
      <c r="D89" s="14"/>
      <c r="E89" s="14"/>
      <c r="F89" s="14"/>
      <c r="G89" s="14"/>
      <c r="H89" s="14"/>
      <c r="I89" s="14"/>
      <c r="J89" s="14"/>
      <c r="K89" s="14"/>
      <c r="L89" s="14"/>
      <c r="M89" s="14"/>
      <c r="N89" s="14"/>
      <c r="O89" s="14"/>
      <c r="P89" s="40" t="str">
        <f>IF(Q65=TRUE,"Til deklarering","")</f>
        <v/>
      </c>
      <c r="U89" s="3" t="b">
        <f>IF(D111="",FALSE,TRUE)</f>
        <v>0</v>
      </c>
      <c r="V89" s="3" t="b">
        <f>IF(I111="",FALSE,TRUE)</f>
        <v>0</v>
      </c>
      <c r="BH89" s="40"/>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row>
    <row r="90" spans="1:124">
      <c r="A90" s="14"/>
      <c r="B90" s="14"/>
      <c r="C90" s="125" t="str">
        <f>IF($O$58=1,"",$AB$70)</f>
        <v/>
      </c>
      <c r="D90" s="128" t="str">
        <f>IF($O$58=1,"",$AC$70)</f>
        <v/>
      </c>
      <c r="E90" s="128"/>
      <c r="F90" s="128"/>
      <c r="G90" s="129"/>
      <c r="H90" s="30"/>
      <c r="I90" s="123" t="str">
        <f>IF($O$58=1,"",$AD$70)</f>
        <v/>
      </c>
      <c r="J90" s="14"/>
      <c r="K90" s="14"/>
      <c r="L90" s="114"/>
      <c r="M90" s="115"/>
      <c r="N90" s="115"/>
      <c r="O90" s="116"/>
      <c r="P90" s="14"/>
      <c r="U90" s="3" t="b">
        <f>IF(D116="",FALSE,TRUE)</f>
        <v>0</v>
      </c>
      <c r="V90" s="3" t="b">
        <f>IF(I116="",FALSE,TRUE)</f>
        <v>0</v>
      </c>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row>
    <row r="91" spans="1:124">
      <c r="A91" s="14"/>
      <c r="B91" s="14"/>
      <c r="C91" s="126"/>
      <c r="D91" s="130"/>
      <c r="E91" s="130"/>
      <c r="F91" s="130"/>
      <c r="G91" s="131"/>
      <c r="H91" s="30"/>
      <c r="I91" s="123"/>
      <c r="J91" s="14"/>
      <c r="K91" s="14"/>
      <c r="L91" s="117"/>
      <c r="M91" s="118"/>
      <c r="N91" s="118"/>
      <c r="O91" s="119"/>
      <c r="P91" s="14"/>
      <c r="U91" s="3" t="b">
        <f>IF(D122="",FALSE,TRUE)</f>
        <v>0</v>
      </c>
      <c r="V91" s="3" t="b">
        <f>IF(I122="",FALSE,TRUE)</f>
        <v>0</v>
      </c>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row>
    <row r="92" spans="1:124">
      <c r="A92" s="14"/>
      <c r="B92" s="14"/>
      <c r="C92" s="127"/>
      <c r="D92" s="132"/>
      <c r="E92" s="132"/>
      <c r="F92" s="132"/>
      <c r="G92" s="133"/>
      <c r="H92" s="30"/>
      <c r="I92" s="123"/>
      <c r="J92" s="14"/>
      <c r="K92" s="14"/>
      <c r="L92" s="120"/>
      <c r="M92" s="121"/>
      <c r="N92" s="121"/>
      <c r="O92" s="122"/>
      <c r="P92" s="14"/>
      <c r="Q92" s="3">
        <v>2</v>
      </c>
      <c r="R92" s="3" t="str">
        <f>IF(C90="","",IF(Q92=1,TRUE,IF(Q92=2,FALSE,"IR")))</f>
        <v/>
      </c>
      <c r="S92" s="3">
        <f>IF(R92=TRUE,1,IF(R92=FALSE,1,0))</f>
        <v>0</v>
      </c>
      <c r="T92" s="3" t="str">
        <f>IF(R92="","",IF(R92=TRUE,"Ja",IF(R92=FALSE,"Nei","Ikke relevant")))</f>
        <v/>
      </c>
      <c r="U92" s="3" t="b">
        <f>IF(D127="",FALSE,TRUE)</f>
        <v>0</v>
      </c>
      <c r="V92" s="3" t="b">
        <f>IF(I127="",FALSE,TRUE)</f>
        <v>0</v>
      </c>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row>
    <row r="93" spans="1:124">
      <c r="A93" s="14"/>
      <c r="B93" s="14"/>
      <c r="C93" s="14"/>
      <c r="D93" s="14"/>
      <c r="E93" s="14"/>
      <c r="F93" s="14"/>
      <c r="G93" s="14"/>
      <c r="H93" s="14"/>
      <c r="I93" s="14"/>
      <c r="J93" s="14"/>
      <c r="K93" s="14"/>
      <c r="L93" s="14"/>
      <c r="M93" s="14"/>
      <c r="N93" s="14"/>
      <c r="O93" s="14"/>
      <c r="P93" s="14"/>
      <c r="BH93" s="40"/>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row>
    <row r="94" spans="1:124" ht="15" customHeight="1">
      <c r="A94" s="14"/>
      <c r="B94" s="14"/>
      <c r="C94" s="125" t="str">
        <f>IF($O$58=1,"",$AE$70)</f>
        <v/>
      </c>
      <c r="D94" s="128" t="str">
        <f>IF($O$58=1,"",$AF$70)</f>
        <v/>
      </c>
      <c r="E94" s="128"/>
      <c r="F94" s="128"/>
      <c r="G94" s="129"/>
      <c r="H94" s="32"/>
      <c r="I94" s="177" t="str">
        <f>IF($O$58=1,"",$AG$70)</f>
        <v/>
      </c>
      <c r="J94" s="14"/>
      <c r="K94" s="14"/>
      <c r="L94" s="114"/>
      <c r="M94" s="115"/>
      <c r="N94" s="115"/>
      <c r="O94" s="116"/>
      <c r="P94" s="14"/>
      <c r="U94" s="3" t="b">
        <f>IF($R$65=TRUE,FALSE,IF($R$69=TRUE,FALSE,IF($R$68=TRUE,FALSE,IF($R$67=TRUE,FALSE,IF($C$136="",FALSE,IF($T$57=TRUE,FALSE,TRUE))))))</f>
        <v>0</v>
      </c>
      <c r="V94" s="3" t="b">
        <f>IF(O46=1,FALSE,IF(I136="",FALSE,IF(T57=FALSE,TRUE,FALSE)))</f>
        <v>0</v>
      </c>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row>
    <row r="95" spans="1:124">
      <c r="A95" s="14"/>
      <c r="B95" s="14"/>
      <c r="C95" s="126"/>
      <c r="D95" s="130"/>
      <c r="E95" s="130"/>
      <c r="F95" s="130"/>
      <c r="G95" s="131"/>
      <c r="H95" s="32"/>
      <c r="I95" s="177"/>
      <c r="J95" s="14"/>
      <c r="K95" s="14"/>
      <c r="L95" s="117"/>
      <c r="M95" s="118"/>
      <c r="N95" s="118"/>
      <c r="O95" s="119"/>
      <c r="P95" s="14"/>
      <c r="U95" s="3" t="b">
        <f>IF(C139="",FALSE,TRUE)</f>
        <v>0</v>
      </c>
      <c r="V95" s="3" t="b">
        <f>IF(U95=FALSE,FALSE,TRUE)</f>
        <v>0</v>
      </c>
      <c r="AE95" s="85"/>
      <c r="AF95" s="85"/>
      <c r="AG95" s="85"/>
      <c r="AH95" s="85"/>
      <c r="AI95" s="85"/>
      <c r="AJ95" s="85"/>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row>
    <row r="96" spans="1:124">
      <c r="A96" s="14"/>
      <c r="B96" s="14"/>
      <c r="C96" s="126"/>
      <c r="D96" s="130"/>
      <c r="E96" s="130"/>
      <c r="F96" s="130"/>
      <c r="G96" s="131"/>
      <c r="H96" s="32"/>
      <c r="I96" s="177"/>
      <c r="J96" s="14"/>
      <c r="K96" s="14"/>
      <c r="L96" s="117"/>
      <c r="M96" s="118"/>
      <c r="N96" s="118"/>
      <c r="O96" s="119"/>
      <c r="P96" s="14"/>
      <c r="BH96" s="40"/>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row>
    <row r="97" spans="1:124">
      <c r="A97" s="14"/>
      <c r="B97" s="14"/>
      <c r="C97" s="126"/>
      <c r="D97" s="130"/>
      <c r="E97" s="130"/>
      <c r="F97" s="130"/>
      <c r="G97" s="131"/>
      <c r="H97" s="32"/>
      <c r="I97" s="177"/>
      <c r="J97" s="14"/>
      <c r="K97" s="14"/>
      <c r="L97" s="117"/>
      <c r="M97" s="118"/>
      <c r="N97" s="118"/>
      <c r="O97" s="119"/>
      <c r="P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row>
    <row r="98" spans="1:124">
      <c r="A98" s="14"/>
      <c r="B98" s="14"/>
      <c r="C98" s="126"/>
      <c r="D98" s="130"/>
      <c r="E98" s="130"/>
      <c r="F98" s="130"/>
      <c r="G98" s="131"/>
      <c r="H98" s="32"/>
      <c r="I98" s="177"/>
      <c r="J98" s="14"/>
      <c r="K98" s="14"/>
      <c r="L98" s="117"/>
      <c r="M98" s="118"/>
      <c r="N98" s="118"/>
      <c r="O98" s="119"/>
      <c r="P98" s="14"/>
      <c r="Q98" s="3">
        <v>2</v>
      </c>
      <c r="R98" s="3" t="str">
        <f>IF(C94="","",IF(Q98=1,TRUE,IF(Q98=2,FALSE,"IR")))</f>
        <v/>
      </c>
      <c r="S98" s="3">
        <f>IF(R98=TRUE,1,IF(R98=FALSE,1,0))</f>
        <v>0</v>
      </c>
      <c r="T98" s="3" t="str">
        <f>IF(R98="","",IF(R98=TRUE,"Ja",IF(R98=FALSE,"Nei","Ikke relevant")))</f>
        <v/>
      </c>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row>
    <row r="99" spans="1:124">
      <c r="A99" s="14"/>
      <c r="B99" s="14"/>
      <c r="C99" s="127"/>
      <c r="D99" s="132"/>
      <c r="E99" s="132"/>
      <c r="F99" s="132"/>
      <c r="G99" s="133"/>
      <c r="H99" s="32"/>
      <c r="I99" s="177"/>
      <c r="J99" s="14"/>
      <c r="K99" s="14"/>
      <c r="L99" s="120"/>
      <c r="M99" s="121"/>
      <c r="N99" s="121"/>
      <c r="O99" s="122"/>
      <c r="P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row>
    <row r="100" spans="1:124">
      <c r="A100" s="14"/>
      <c r="B100" s="14"/>
      <c r="C100" s="28"/>
      <c r="D100" s="33"/>
      <c r="E100" s="33"/>
      <c r="F100" s="33"/>
      <c r="G100" s="33"/>
      <c r="H100" s="33"/>
      <c r="I100" s="14"/>
      <c r="J100" s="14"/>
      <c r="K100" s="14"/>
      <c r="L100" s="14"/>
      <c r="M100" s="14"/>
      <c r="N100" s="14"/>
      <c r="O100" s="14"/>
      <c r="P100" s="14"/>
      <c r="BH100" s="40"/>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row>
    <row r="101" spans="1:124" ht="15" customHeight="1">
      <c r="A101" s="14"/>
      <c r="B101" s="14"/>
      <c r="C101" s="125" t="str">
        <f>IF($O$58=1,"",$AH$70)</f>
        <v/>
      </c>
      <c r="D101" s="128" t="str">
        <f>IF($O$58=1,"",$AI$70)</f>
        <v/>
      </c>
      <c r="E101" s="128"/>
      <c r="F101" s="128"/>
      <c r="G101" s="129"/>
      <c r="H101" s="32"/>
      <c r="I101" s="123" t="str">
        <f>IF($O$58=1,"",$AJ$70)</f>
        <v/>
      </c>
      <c r="J101" s="14"/>
      <c r="K101" s="14"/>
      <c r="L101" s="114"/>
      <c r="M101" s="115"/>
      <c r="N101" s="115"/>
      <c r="O101" s="116"/>
      <c r="P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row>
    <row r="102" spans="1:124">
      <c r="A102" s="14"/>
      <c r="B102" s="14"/>
      <c r="C102" s="126"/>
      <c r="D102" s="130"/>
      <c r="E102" s="130"/>
      <c r="F102" s="130"/>
      <c r="G102" s="131"/>
      <c r="H102" s="32"/>
      <c r="I102" s="123"/>
      <c r="J102" s="14"/>
      <c r="K102" s="14"/>
      <c r="L102" s="117"/>
      <c r="M102" s="118"/>
      <c r="N102" s="118"/>
      <c r="O102" s="119"/>
      <c r="P102" s="14"/>
      <c r="Q102" s="3">
        <v>2</v>
      </c>
      <c r="R102" s="3" t="str">
        <f>IF(C101="","",IF(Q102=1,TRUE,IF(Q102=2,FALSE,"IR")))</f>
        <v/>
      </c>
      <c r="S102" s="3">
        <f>IF(R102=TRUE,1,IF(R102=FALSE,1,0))</f>
        <v>0</v>
      </c>
      <c r="T102" s="3" t="str">
        <f>IF(R102="","",IF(R102=TRUE,"Ja",IF(R102=FALSE,"Nei","Ikke relevant")))</f>
        <v/>
      </c>
      <c r="BH102" s="40"/>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row>
    <row r="103" spans="1:124">
      <c r="A103" s="14"/>
      <c r="B103" s="14"/>
      <c r="C103" s="126"/>
      <c r="D103" s="130"/>
      <c r="E103" s="130"/>
      <c r="F103" s="130"/>
      <c r="G103" s="131"/>
      <c r="H103" s="32"/>
      <c r="I103" s="123"/>
      <c r="J103" s="14"/>
      <c r="K103" s="14"/>
      <c r="L103" s="117"/>
      <c r="M103" s="118"/>
      <c r="N103" s="118"/>
      <c r="O103" s="119"/>
      <c r="P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row>
    <row r="104" spans="1:124">
      <c r="A104" s="14"/>
      <c r="B104" s="14"/>
      <c r="C104" s="127"/>
      <c r="D104" s="132"/>
      <c r="E104" s="132"/>
      <c r="F104" s="132"/>
      <c r="G104" s="133"/>
      <c r="H104" s="32"/>
      <c r="I104" s="123"/>
      <c r="J104" s="14"/>
      <c r="K104" s="14"/>
      <c r="L104" s="120"/>
      <c r="M104" s="121"/>
      <c r="N104" s="121"/>
      <c r="O104" s="122"/>
      <c r="P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row>
    <row r="105" spans="1:124">
      <c r="A105" s="14"/>
      <c r="B105" s="14"/>
      <c r="C105" s="14"/>
      <c r="D105" s="14"/>
      <c r="E105" s="14"/>
      <c r="F105" s="14"/>
      <c r="G105" s="14"/>
      <c r="H105" s="14"/>
      <c r="I105" s="14"/>
      <c r="J105" s="14"/>
      <c r="K105" s="14"/>
      <c r="L105" s="14"/>
      <c r="M105" s="14"/>
      <c r="N105" s="14"/>
      <c r="O105" s="14"/>
      <c r="P105" s="40" t="str">
        <f>IF(BC61=TRUE,"Til utskrift",IF(BC65=TRUE,"Til utskrift",IF(BC67=TRUE,"Til utskrift","")))</f>
        <v/>
      </c>
      <c r="BH105" s="40"/>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row>
    <row r="106" spans="1:124" ht="15" customHeight="1">
      <c r="A106" s="14"/>
      <c r="B106" s="14"/>
      <c r="C106" s="125" t="str">
        <f>IF($O$58=1,"",$AK$70)</f>
        <v/>
      </c>
      <c r="D106" s="128" t="str">
        <f>IF($O$58=1,"",$AL$70)</f>
        <v/>
      </c>
      <c r="E106" s="128"/>
      <c r="F106" s="128"/>
      <c r="G106" s="129"/>
      <c r="H106" s="32"/>
      <c r="I106" s="123" t="str">
        <f>IF($O$58=1,"",$AM$70)</f>
        <v/>
      </c>
      <c r="J106" s="14"/>
      <c r="K106" s="14"/>
      <c r="L106" s="114"/>
      <c r="M106" s="115"/>
      <c r="N106" s="115"/>
      <c r="O106" s="116"/>
      <c r="P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row>
    <row r="107" spans="1:124">
      <c r="A107" s="14"/>
      <c r="B107" s="14"/>
      <c r="C107" s="126"/>
      <c r="D107" s="130"/>
      <c r="E107" s="130"/>
      <c r="F107" s="130"/>
      <c r="G107" s="131"/>
      <c r="H107" s="32"/>
      <c r="I107" s="123"/>
      <c r="J107" s="14"/>
      <c r="K107" s="14"/>
      <c r="L107" s="117"/>
      <c r="M107" s="118"/>
      <c r="N107" s="118"/>
      <c r="O107" s="119"/>
      <c r="P107" s="14"/>
      <c r="Q107" s="3">
        <v>2</v>
      </c>
      <c r="R107" s="3" t="str">
        <f>IF(C106="","",IF(Q107=1,TRUE,IF(Q107=2,FALSE,IF(V107=TRUE,TRUE,"IR"))))</f>
        <v/>
      </c>
      <c r="S107" s="3">
        <f>IF(R107=TRUE,1,IF(R107=FALSE,1,0))</f>
        <v>0</v>
      </c>
      <c r="T107" s="3" t="str">
        <f>IF(R107="","",IF(V107=TRUE,"Ikke bekreftet",IF(R107=TRUE,"Ja",IF(R107=FALSE,"Nei",U107))))</f>
        <v/>
      </c>
      <c r="U107" s="3" t="str">
        <f>IF(O46=3,"Ikke relevant",IF(O46=2,"Ikke bekreftet",""))</f>
        <v/>
      </c>
      <c r="V107" s="3" t="b">
        <f>IF(O46=2,IF(Q107=3,TRUE,FALSE))</f>
        <v>0</v>
      </c>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row>
    <row r="108" spans="1:124">
      <c r="A108" s="14"/>
      <c r="B108" s="14"/>
      <c r="C108" s="126"/>
      <c r="D108" s="130"/>
      <c r="E108" s="130"/>
      <c r="F108" s="130"/>
      <c r="G108" s="131"/>
      <c r="H108" s="32"/>
      <c r="I108" s="123"/>
      <c r="J108" s="14"/>
      <c r="K108" s="14"/>
      <c r="L108" s="117"/>
      <c r="M108" s="118"/>
      <c r="N108" s="118"/>
      <c r="O108" s="119"/>
      <c r="P108" s="14"/>
      <c r="BH108" s="40"/>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row>
    <row r="109" spans="1:124">
      <c r="A109" s="14"/>
      <c r="B109" s="14"/>
      <c r="C109" s="127"/>
      <c r="D109" s="132"/>
      <c r="E109" s="132"/>
      <c r="F109" s="132"/>
      <c r="G109" s="133"/>
      <c r="H109" s="32"/>
      <c r="I109" s="123"/>
      <c r="J109" s="14"/>
      <c r="K109" s="14"/>
      <c r="L109" s="120"/>
      <c r="M109" s="121"/>
      <c r="N109" s="121"/>
      <c r="O109" s="122"/>
      <c r="P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row>
    <row r="110" spans="1:124">
      <c r="A110" s="14"/>
      <c r="B110" s="14"/>
      <c r="C110" s="14"/>
      <c r="D110" s="14"/>
      <c r="E110" s="14"/>
      <c r="F110" s="14"/>
      <c r="G110" s="14"/>
      <c r="H110" s="14"/>
      <c r="I110" s="14"/>
      <c r="J110" s="14"/>
      <c r="K110" s="14"/>
      <c r="L110" s="14"/>
      <c r="M110" s="14"/>
      <c r="N110" s="14"/>
      <c r="O110" s="14"/>
      <c r="P110" s="40" t="str">
        <f>IF(BC64=TRUE,"Til utskrift",IF(BC68=TRUE,"Til utskrift",""))</f>
        <v/>
      </c>
      <c r="BH110" s="40"/>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row>
    <row r="111" spans="1:124" ht="15" customHeight="1">
      <c r="A111" s="14"/>
      <c r="B111" s="14"/>
      <c r="C111" s="125" t="str">
        <f>IF($O$58=1,"",$AN$70)</f>
        <v/>
      </c>
      <c r="D111" s="128" t="str">
        <f>IF($O$58=1,"",$AO$70)</f>
        <v/>
      </c>
      <c r="E111" s="128"/>
      <c r="F111" s="128"/>
      <c r="G111" s="129"/>
      <c r="H111" s="32"/>
      <c r="I111" s="123" t="str">
        <f>IF($O$58=1,"",$AP$70)</f>
        <v/>
      </c>
      <c r="J111" s="14"/>
      <c r="K111" s="14"/>
      <c r="L111" s="114"/>
      <c r="M111" s="115"/>
      <c r="N111" s="115"/>
      <c r="O111" s="116"/>
      <c r="P111" s="14"/>
      <c r="Y111" s="3" t="b">
        <f>AND($S$66=TRUE,$Q$130=1)</f>
        <v>0</v>
      </c>
      <c r="Z111" s="3" t="b">
        <f>AND($S$62=TRUE,$Q$130=1)</f>
        <v>0</v>
      </c>
      <c r="AA111" s="3" t="b">
        <f>AND($S$63=TRUE,$Q$130=1)</f>
        <v>0</v>
      </c>
      <c r="AB111" s="3" t="b">
        <f>OR(Y111,Z111,AA111)</f>
        <v>0</v>
      </c>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row>
    <row r="112" spans="1:124">
      <c r="A112" s="14"/>
      <c r="B112" s="14"/>
      <c r="C112" s="126"/>
      <c r="D112" s="130"/>
      <c r="E112" s="130"/>
      <c r="F112" s="130"/>
      <c r="G112" s="131"/>
      <c r="H112" s="32"/>
      <c r="I112" s="123"/>
      <c r="J112" s="14"/>
      <c r="K112" s="14"/>
      <c r="L112" s="117"/>
      <c r="M112" s="118"/>
      <c r="N112" s="118"/>
      <c r="O112" s="119"/>
      <c r="P112" s="14"/>
      <c r="Q112" s="3">
        <v>2</v>
      </c>
      <c r="R112" s="3" t="str">
        <f>IF(C111="","",IF(Q112=1,TRUE,IF(Q112=2,FALSE,"IR")))</f>
        <v/>
      </c>
      <c r="S112" s="3">
        <f>IF(R112=TRUE,1,IF(R112=FALSE,1,0))</f>
        <v>0</v>
      </c>
      <c r="T112" s="3" t="str">
        <f>IF(R112="","",IF(R112=TRUE,"Ja",IF(R112=FALSE,"Nei","Ikke relevant")))</f>
        <v/>
      </c>
      <c r="Y112" s="3" t="b">
        <f>AND($R$66=TRUE,$Q$130=1)</f>
        <v>0</v>
      </c>
      <c r="Z112" s="3" t="b">
        <f>AND($R$62=TRUE,$Q$130=1)</f>
        <v>0</v>
      </c>
      <c r="AA112" s="3" t="b">
        <f>AND($R$63=TRUE,$Q$130=1)</f>
        <v>0</v>
      </c>
      <c r="AB112" s="3" t="b">
        <f>OR(Y112,Z112,AA112)</f>
        <v>0</v>
      </c>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row>
    <row r="113" spans="1:124">
      <c r="A113" s="14"/>
      <c r="B113" s="14"/>
      <c r="C113" s="126"/>
      <c r="D113" s="130"/>
      <c r="E113" s="130"/>
      <c r="F113" s="130"/>
      <c r="G113" s="131"/>
      <c r="H113" s="32"/>
      <c r="I113" s="123"/>
      <c r="J113" s="14"/>
      <c r="K113" s="14"/>
      <c r="L113" s="117"/>
      <c r="M113" s="118"/>
      <c r="N113" s="118"/>
      <c r="O113" s="119"/>
      <c r="P113" s="14"/>
      <c r="AB113" s="3" t="b">
        <f>OR(AB111,AB112)</f>
        <v>0</v>
      </c>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row>
    <row r="114" spans="1:124">
      <c r="A114" s="14"/>
      <c r="B114" s="14"/>
      <c r="C114" s="127"/>
      <c r="D114" s="132"/>
      <c r="E114" s="132"/>
      <c r="F114" s="132"/>
      <c r="G114" s="133"/>
      <c r="H114" s="32"/>
      <c r="I114" s="123"/>
      <c r="J114" s="14"/>
      <c r="K114" s="14"/>
      <c r="L114" s="120"/>
      <c r="M114" s="121"/>
      <c r="N114" s="121"/>
      <c r="O114" s="122"/>
      <c r="P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row>
    <row r="115" spans="1:124">
      <c r="A115" s="14"/>
      <c r="B115" s="14"/>
      <c r="C115" s="14"/>
      <c r="D115" s="14"/>
      <c r="E115" s="14"/>
      <c r="F115" s="14"/>
      <c r="G115" s="14"/>
      <c r="H115" s="14"/>
      <c r="I115" s="14"/>
      <c r="J115" s="14"/>
      <c r="K115" s="14"/>
      <c r="L115" s="14"/>
      <c r="M115" s="14"/>
      <c r="N115" s="14"/>
      <c r="O115" s="14"/>
      <c r="P115" s="40" t="str">
        <f>IF(BC60=TRUE,"Til utskrift",IF(Q60=TRUE,"Til utskrift",""))</f>
        <v/>
      </c>
      <c r="Y115" s="3" t="b">
        <f>AND($S$66=TRUE,$Q$130=0)</f>
        <v>0</v>
      </c>
      <c r="Z115" s="3" t="b">
        <f>AND($S$62=TRUE,$Q$130=0)</f>
        <v>0</v>
      </c>
      <c r="AA115" s="3" t="b">
        <f>AND($S$63=TRUE,$Q$130=0)</f>
        <v>0</v>
      </c>
      <c r="AB115" s="3" t="b">
        <f>OR(Y115,Z115,AA115)</f>
        <v>0</v>
      </c>
      <c r="BH115" s="40"/>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row>
    <row r="116" spans="1:124">
      <c r="A116" s="14"/>
      <c r="B116" s="14"/>
      <c r="C116" s="125" t="str">
        <f>IF($O$58=1,"",$AQ$70)</f>
        <v/>
      </c>
      <c r="D116" s="128" t="str">
        <f>IF($O$58=1,"",$AR$70)</f>
        <v/>
      </c>
      <c r="E116" s="128"/>
      <c r="F116" s="128"/>
      <c r="G116" s="129"/>
      <c r="H116" s="32"/>
      <c r="I116" s="123" t="str">
        <f>IF($O$58=1,"",$AS$70)</f>
        <v/>
      </c>
      <c r="J116" s="14"/>
      <c r="K116" s="14"/>
      <c r="L116" s="114"/>
      <c r="M116" s="115"/>
      <c r="N116" s="115"/>
      <c r="O116" s="116"/>
      <c r="P116" s="14"/>
      <c r="Y116" s="3" t="b">
        <f>AND($R$66=TRUE,$Q$130=0)</f>
        <v>0</v>
      </c>
      <c r="Z116" s="3" t="b">
        <f>AND($R$62=TRUE,$Q$130=0)</f>
        <v>0</v>
      </c>
      <c r="AA116" s="3" t="b">
        <f>AND($R$63=TRUE,$Q$130=0)</f>
        <v>0</v>
      </c>
      <c r="AB116" s="3" t="b">
        <f>OR(Y116,Z116,AA116)</f>
        <v>0</v>
      </c>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row>
    <row r="117" spans="1:124">
      <c r="A117" s="14"/>
      <c r="B117" s="14"/>
      <c r="C117" s="126"/>
      <c r="D117" s="130"/>
      <c r="E117" s="130"/>
      <c r="F117" s="130"/>
      <c r="G117" s="131"/>
      <c r="H117" s="32"/>
      <c r="I117" s="123"/>
      <c r="J117" s="14"/>
      <c r="K117" s="14"/>
      <c r="L117" s="117"/>
      <c r="M117" s="118"/>
      <c r="N117" s="118"/>
      <c r="O117" s="119"/>
      <c r="P117" s="14"/>
      <c r="Q117" s="3">
        <v>2</v>
      </c>
      <c r="R117" s="3" t="str">
        <f>IF(C116="","",IF(Q117=1,TRUE,IF(Q117=2,FALSE,"IR")))</f>
        <v/>
      </c>
      <c r="S117" s="3">
        <f>IF(R117=TRUE,1,IF(R117=FALSE,1,0))</f>
        <v>0</v>
      </c>
      <c r="T117" s="3" t="str">
        <f>IF(R117="","",IF(R117=TRUE,"Ja",IF(R117=FALSE,"Nei","Ikke relevant")))</f>
        <v/>
      </c>
      <c r="V117" s="3" t="s">
        <v>12</v>
      </c>
      <c r="Y117" s="3" t="s">
        <v>48</v>
      </c>
      <c r="AB117" s="3" t="b">
        <f>OR(AB115,AB116)</f>
        <v>0</v>
      </c>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row>
    <row r="118" spans="1:124">
      <c r="A118" s="14"/>
      <c r="B118" s="14"/>
      <c r="C118" s="126"/>
      <c r="D118" s="130"/>
      <c r="E118" s="130"/>
      <c r="F118" s="130"/>
      <c r="G118" s="131"/>
      <c r="H118" s="32"/>
      <c r="I118" s="123"/>
      <c r="J118" s="14"/>
      <c r="K118" s="14"/>
      <c r="L118" s="117"/>
      <c r="M118" s="118"/>
      <c r="N118" s="118"/>
      <c r="O118" s="119"/>
      <c r="P118" s="14"/>
      <c r="U118" s="3">
        <f>S129</f>
        <v>0</v>
      </c>
      <c r="V118" s="3" t="str">
        <f>IF($T$57=TRUE,"Begge stoffer på listen oppfyller dokumentasjonskravene.","Alle stoffer på listen oppfyller dokumentasjonskravene.")</f>
        <v>Alle stoffer på listen oppfyller dokumentasjonskravene.</v>
      </c>
      <c r="X118" s="3">
        <f>S129</f>
        <v>0</v>
      </c>
      <c r="Y118" s="3" t="str">
        <f>IF(AB113=TRUE,"Dokumentasjonskravet til BREEAM-NOR er oppfylt.","Alle stoffer på listen oppfyller dokumentasjonskravene til BREEAM-NOR.")</f>
        <v>Alle stoffer på listen oppfyller dokumentasjonskravene til BREEAM-NOR.</v>
      </c>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row>
    <row r="119" spans="1:124">
      <c r="A119" s="14"/>
      <c r="B119" s="14"/>
      <c r="C119" s="126"/>
      <c r="D119" s="130"/>
      <c r="E119" s="130"/>
      <c r="F119" s="130"/>
      <c r="G119" s="131"/>
      <c r="H119" s="32"/>
      <c r="I119" s="123"/>
      <c r="J119" s="14"/>
      <c r="K119" s="14"/>
      <c r="L119" s="117"/>
      <c r="M119" s="118"/>
      <c r="N119" s="118"/>
      <c r="O119" s="119"/>
      <c r="P119" s="14"/>
      <c r="U119" s="3">
        <f>U118-1</f>
        <v>-1</v>
      </c>
      <c r="V119" s="3" t="s">
        <v>70</v>
      </c>
      <c r="X119" s="3">
        <f>X118-1</f>
        <v>-1</v>
      </c>
      <c r="Y119" s="3" t="str">
        <f>IF($AB$117=TRUE,"Stoffet på listen oppfyller ikke dokumentasjonskravet. Produktet tilfredsstiller derfor ikke A20-kravene til BREEAM-NOR.","Det finnes ett stoff på listen som ikke oppfyller dokumentasjonskravet. Produktet/produktene tilfredsstiller derfor ikke A20-kravene til BREEAM-NOR.")</f>
        <v>Det finnes ett stoff på listen som ikke oppfyller dokumentasjonskravet. Produktet/produktene tilfredsstiller derfor ikke A20-kravene til BREEAM-NOR.</v>
      </c>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row>
    <row r="120" spans="1:124">
      <c r="A120" s="14"/>
      <c r="B120" s="14"/>
      <c r="C120" s="127"/>
      <c r="D120" s="132"/>
      <c r="E120" s="132"/>
      <c r="F120" s="132"/>
      <c r="G120" s="133"/>
      <c r="H120" s="32"/>
      <c r="I120" s="123"/>
      <c r="J120" s="14"/>
      <c r="K120" s="14"/>
      <c r="L120" s="120"/>
      <c r="M120" s="121"/>
      <c r="N120" s="121"/>
      <c r="O120" s="122"/>
      <c r="P120" s="14"/>
      <c r="U120" s="3">
        <f>U119-1</f>
        <v>-2</v>
      </c>
      <c r="V120" s="3" t="str">
        <f>IF(T57=TRUE,"Ingen stoffer oppfyller dokumentasjonskravet. Produktet/produktene tilfredsstiller derfor ikke HEA 9-kravene til BREEAM-NOR.","Det finnes to stoffer på listen som ikke oppfyller dokumentasjonskravet. Produktet/produktene tilfredsstiller derfor ikke HEA 9-kravene til BREEAM-NOR.")</f>
        <v>Det finnes to stoffer på listen som ikke oppfyller dokumentasjonskravet. Produktet/produktene tilfredsstiller derfor ikke HEA 9-kravene til BREEAM-NOR.</v>
      </c>
      <c r="X120" s="3">
        <f>X119-1</f>
        <v>-2</v>
      </c>
      <c r="Y120" s="3" t="s">
        <v>79</v>
      </c>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row>
    <row r="121" spans="1:124">
      <c r="A121" s="14"/>
      <c r="B121" s="14"/>
      <c r="C121" s="14"/>
      <c r="D121" s="14"/>
      <c r="E121" s="14"/>
      <c r="F121" s="14"/>
      <c r="G121" s="14"/>
      <c r="H121" s="14"/>
      <c r="I121" s="14"/>
      <c r="J121" s="14"/>
      <c r="K121" s="14"/>
      <c r="L121" s="14"/>
      <c r="M121" s="14"/>
      <c r="N121" s="14"/>
      <c r="O121" s="14"/>
      <c r="P121" s="109" t="str">
        <f>IF(Q62=TRUE,"Til utskrift",IF(BC69=TRUE,"Til utskrift",""))</f>
        <v/>
      </c>
      <c r="U121" s="3">
        <f t="shared" ref="U121:U128" si="3">U120-1</f>
        <v>-3</v>
      </c>
      <c r="V121" s="3" t="s">
        <v>71</v>
      </c>
      <c r="X121" s="3">
        <f t="shared" ref="X121:X128" si="4">X120-1</f>
        <v>-3</v>
      </c>
      <c r="Y121" s="3" t="s">
        <v>80</v>
      </c>
      <c r="BH121" s="40"/>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row>
    <row r="122" spans="1:124" ht="15" customHeight="1">
      <c r="A122" s="14"/>
      <c r="B122" s="14"/>
      <c r="C122" s="125" t="str">
        <f>IF($O$58=1,"",$AT$70)</f>
        <v/>
      </c>
      <c r="D122" s="128" t="str">
        <f>IF($O$58=1,"",$AU$70)</f>
        <v/>
      </c>
      <c r="E122" s="128"/>
      <c r="F122" s="128"/>
      <c r="G122" s="129"/>
      <c r="H122" s="32"/>
      <c r="I122" s="123" t="str">
        <f>IF($O$58=1,"",$AV$70)</f>
        <v/>
      </c>
      <c r="J122" s="14"/>
      <c r="K122" s="14"/>
      <c r="L122" s="114"/>
      <c r="M122" s="115"/>
      <c r="N122" s="115"/>
      <c r="O122" s="116"/>
      <c r="P122" s="14"/>
      <c r="U122" s="3">
        <f t="shared" si="3"/>
        <v>-4</v>
      </c>
      <c r="V122" s="3" t="s">
        <v>72</v>
      </c>
      <c r="X122" s="3">
        <f t="shared" si="4"/>
        <v>-4</v>
      </c>
      <c r="Y122" s="3" t="s">
        <v>81</v>
      </c>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row>
    <row r="123" spans="1:124">
      <c r="A123" s="14"/>
      <c r="B123" s="14"/>
      <c r="C123" s="126"/>
      <c r="D123" s="130"/>
      <c r="E123" s="130"/>
      <c r="F123" s="130"/>
      <c r="G123" s="131"/>
      <c r="H123" s="32"/>
      <c r="I123" s="123"/>
      <c r="J123" s="14"/>
      <c r="K123" s="14"/>
      <c r="L123" s="117"/>
      <c r="M123" s="118"/>
      <c r="N123" s="118"/>
      <c r="O123" s="119"/>
      <c r="P123" s="14"/>
      <c r="Q123" s="3">
        <v>1</v>
      </c>
      <c r="R123" s="3" t="str">
        <f>IF(C122="","",IF(Q123=1,TRUE,IF(Q123=2,FALSE,"IR")))</f>
        <v/>
      </c>
      <c r="S123" s="3">
        <f>IF(R123=TRUE,1,IF(R123=FALSE,1,0))</f>
        <v>0</v>
      </c>
      <c r="T123" s="3" t="str">
        <f>IF(R123="","",IF(R123=TRUE,"Ja",IF(R123=FALSE,"Nei","Ikke relevant")))</f>
        <v/>
      </c>
      <c r="U123" s="3">
        <f t="shared" si="3"/>
        <v>-5</v>
      </c>
      <c r="V123" s="3" t="s">
        <v>73</v>
      </c>
      <c r="X123" s="3">
        <f t="shared" si="4"/>
        <v>-5</v>
      </c>
      <c r="Y123" s="3" t="s">
        <v>82</v>
      </c>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row>
    <row r="124" spans="1:124">
      <c r="A124" s="14"/>
      <c r="B124" s="14"/>
      <c r="C124" s="126"/>
      <c r="D124" s="130"/>
      <c r="E124" s="130"/>
      <c r="F124" s="130"/>
      <c r="G124" s="131"/>
      <c r="H124" s="32"/>
      <c r="I124" s="123"/>
      <c r="J124" s="14"/>
      <c r="K124" s="14"/>
      <c r="L124" s="117"/>
      <c r="M124" s="118"/>
      <c r="N124" s="118"/>
      <c r="O124" s="119"/>
      <c r="P124" s="14"/>
      <c r="U124" s="3">
        <f t="shared" si="3"/>
        <v>-6</v>
      </c>
      <c r="V124" s="3" t="s">
        <v>74</v>
      </c>
      <c r="X124" s="3">
        <f t="shared" si="4"/>
        <v>-6</v>
      </c>
      <c r="Y124" s="3" t="s">
        <v>83</v>
      </c>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row>
    <row r="125" spans="1:124">
      <c r="A125" s="14"/>
      <c r="B125" s="14"/>
      <c r="C125" s="127"/>
      <c r="D125" s="132"/>
      <c r="E125" s="132"/>
      <c r="F125" s="132"/>
      <c r="G125" s="133"/>
      <c r="H125" s="32"/>
      <c r="I125" s="123"/>
      <c r="J125" s="14"/>
      <c r="K125" s="14"/>
      <c r="L125" s="120"/>
      <c r="M125" s="121"/>
      <c r="N125" s="121"/>
      <c r="O125" s="122"/>
      <c r="P125" s="14"/>
      <c r="U125" s="3">
        <f t="shared" si="3"/>
        <v>-7</v>
      </c>
      <c r="V125" s="3" t="s">
        <v>75</v>
      </c>
      <c r="X125" s="3">
        <f t="shared" si="4"/>
        <v>-7</v>
      </c>
      <c r="Y125" s="3" t="s">
        <v>84</v>
      </c>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row>
    <row r="126" spans="1:124">
      <c r="A126" s="14"/>
      <c r="B126" s="14"/>
      <c r="C126" s="14"/>
      <c r="D126" s="14"/>
      <c r="E126" s="14"/>
      <c r="F126" s="14"/>
      <c r="G126" s="14"/>
      <c r="H126" s="14"/>
      <c r="I126" s="14"/>
      <c r="J126" s="14"/>
      <c r="K126" s="14"/>
      <c r="L126" s="14"/>
      <c r="M126" s="14"/>
      <c r="N126" s="14"/>
      <c r="O126" s="14"/>
      <c r="P126" s="40" t="str">
        <f>IF(Q64=TRUE,"Til utskrift",IF(Q68=TRUE,"Til utskrift",""))</f>
        <v/>
      </c>
      <c r="U126" s="3">
        <f t="shared" si="3"/>
        <v>-8</v>
      </c>
      <c r="V126" s="3" t="s">
        <v>76</v>
      </c>
      <c r="X126" s="3">
        <f t="shared" si="4"/>
        <v>-8</v>
      </c>
      <c r="Y126" s="3" t="s">
        <v>85</v>
      </c>
      <c r="BH126" s="40"/>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row>
    <row r="127" spans="1:124" ht="15" customHeight="1">
      <c r="A127" s="14"/>
      <c r="B127" s="14"/>
      <c r="C127" s="125" t="str">
        <f>IF($O$58=1,"",$AW$70)</f>
        <v/>
      </c>
      <c r="D127" s="128" t="str">
        <f>IF($O$58=1,"",$AX$70)</f>
        <v/>
      </c>
      <c r="E127" s="128"/>
      <c r="F127" s="128"/>
      <c r="G127" s="129"/>
      <c r="H127" s="32"/>
      <c r="I127" s="123" t="str">
        <f>IF($O$58=1,"",$AY$70)</f>
        <v/>
      </c>
      <c r="J127" s="14"/>
      <c r="K127" s="14"/>
      <c r="L127" s="114"/>
      <c r="M127" s="115"/>
      <c r="N127" s="115"/>
      <c r="O127" s="116"/>
      <c r="P127" s="14"/>
      <c r="U127" s="3">
        <f t="shared" si="3"/>
        <v>-9</v>
      </c>
      <c r="V127" s="3" t="s">
        <v>77</v>
      </c>
      <c r="X127" s="3">
        <f t="shared" si="4"/>
        <v>-9</v>
      </c>
      <c r="Y127" s="3" t="s">
        <v>86</v>
      </c>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row>
    <row r="128" spans="1:124">
      <c r="A128" s="14"/>
      <c r="B128" s="14"/>
      <c r="C128" s="126"/>
      <c r="D128" s="130"/>
      <c r="E128" s="130"/>
      <c r="F128" s="130"/>
      <c r="G128" s="131"/>
      <c r="H128" s="32"/>
      <c r="I128" s="123"/>
      <c r="J128" s="14"/>
      <c r="K128" s="14"/>
      <c r="L128" s="117"/>
      <c r="M128" s="118"/>
      <c r="N128" s="118"/>
      <c r="O128" s="119"/>
      <c r="P128" s="14"/>
      <c r="Q128" s="3">
        <v>1</v>
      </c>
      <c r="R128" s="3" t="str">
        <f>IF(C127="","",IF(Q128=1,TRUE,IF(Q128=2,FALSE,"IR")))</f>
        <v/>
      </c>
      <c r="S128" s="3">
        <f>IF(R128=TRUE,1,IF(R128=FALSE,1,0))</f>
        <v>0</v>
      </c>
      <c r="T128" s="3" t="str">
        <f>IF(R128="","",IF(R128=TRUE,"Ja",IF(R128=FALSE,"Nei","Ikke relevant")))</f>
        <v/>
      </c>
      <c r="U128" s="3">
        <f t="shared" si="3"/>
        <v>-10</v>
      </c>
      <c r="V128" s="3" t="s">
        <v>78</v>
      </c>
      <c r="X128" s="3">
        <f t="shared" si="4"/>
        <v>-10</v>
      </c>
      <c r="Y128" s="3" t="s">
        <v>87</v>
      </c>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row>
    <row r="129" spans="1:124">
      <c r="A129" s="14"/>
      <c r="B129" s="14"/>
      <c r="C129" s="127"/>
      <c r="D129" s="132"/>
      <c r="E129" s="132"/>
      <c r="F129" s="132"/>
      <c r="G129" s="133"/>
      <c r="H129" s="32"/>
      <c r="I129" s="123"/>
      <c r="J129" s="14"/>
      <c r="K129" s="14"/>
      <c r="L129" s="120"/>
      <c r="M129" s="121"/>
      <c r="N129" s="121"/>
      <c r="O129" s="122"/>
      <c r="P129" s="14"/>
      <c r="Q129" s="3">
        <f>COUNTIF(R82:R128,TRUE)</f>
        <v>0</v>
      </c>
      <c r="R129" s="3" t="str">
        <f>VLOOKUP(Q129,U118:V128,2,FALSE)</f>
        <v>Alle stoffer på listen oppfyller dokumentasjonskravene.</v>
      </c>
      <c r="S129" s="3">
        <f>SUM(S82:S128)</f>
        <v>0</v>
      </c>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row>
    <row r="130" spans="1:124">
      <c r="A130" s="14"/>
      <c r="B130" s="14"/>
      <c r="C130" s="34"/>
      <c r="D130" s="32"/>
      <c r="E130" s="32"/>
      <c r="F130" s="32"/>
      <c r="G130" s="32"/>
      <c r="H130" s="32"/>
      <c r="I130" s="32"/>
      <c r="J130" s="14"/>
      <c r="K130" s="14"/>
      <c r="L130" s="35"/>
      <c r="M130" s="35"/>
      <c r="N130" s="35"/>
      <c r="O130" s="35"/>
      <c r="P130" s="40" t="str">
        <f>IF(Q61=TRUE,"Til utskrift",IF(Q63=TRUE,"Til utskrift",IF(Q66=TRUE,"Til utskrift",IF(Q67=TRUE,"Til utskrift",""))))</f>
        <v/>
      </c>
      <c r="Q130" s="3">
        <f>COUNTIF(R82:R128,FALSE)</f>
        <v>0</v>
      </c>
      <c r="R130" s="3" t="str">
        <f>VLOOKUP(Q130,X118:Y128,2,FALSE)</f>
        <v>Alle stoffer på listen oppfyller dokumentasjonskravene til BREEAM-NOR.</v>
      </c>
      <c r="BH130" s="40"/>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row>
    <row r="131" spans="1:124" ht="26.25" customHeight="1">
      <c r="A131" s="14"/>
      <c r="B131" s="14"/>
      <c r="C131" s="148" t="str">
        <f>IF(O46&lt;=2,"",S146)</f>
        <v/>
      </c>
      <c r="D131" s="148"/>
      <c r="E131" s="36"/>
      <c r="F131" s="36"/>
      <c r="G131" s="92"/>
      <c r="H131" s="92"/>
      <c r="I131" s="92"/>
      <c r="J131" s="14"/>
      <c r="K131" s="14"/>
      <c r="L131" s="35"/>
      <c r="M131" s="35"/>
      <c r="N131" s="35"/>
      <c r="O131" s="35"/>
      <c r="P131" s="14"/>
      <c r="R131" s="3" t="b">
        <f>IF(O46=2,R130,IF(O46=3,R129))</f>
        <v>0</v>
      </c>
      <c r="BH131" s="40"/>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row>
    <row r="132" spans="1:124" ht="26.25" customHeight="1">
      <c r="A132" s="14"/>
      <c r="B132" s="14"/>
      <c r="C132" s="148" t="str">
        <f>IF(O46&lt;=2,"",S147)</f>
        <v/>
      </c>
      <c r="D132" s="148"/>
      <c r="E132" s="148"/>
      <c r="F132" s="148"/>
      <c r="G132" s="92"/>
      <c r="H132" s="92"/>
      <c r="I132" s="92"/>
      <c r="J132" s="14"/>
      <c r="K132" s="14"/>
      <c r="L132" s="35"/>
      <c r="M132" s="35"/>
      <c r="N132" s="35"/>
      <c r="O132" s="35"/>
      <c r="P132" s="14"/>
      <c r="Q132" s="3">
        <f>COUNTIF(R82:R128,"IR")</f>
        <v>0</v>
      </c>
      <c r="BH132" s="40"/>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row>
    <row r="133" spans="1:124" ht="26.25" customHeight="1">
      <c r="A133" s="14"/>
      <c r="B133" s="14"/>
      <c r="C133" s="148" t="str">
        <f>IF(O46&lt;=2,"",S148)</f>
        <v/>
      </c>
      <c r="D133" s="148"/>
      <c r="E133" s="148"/>
      <c r="F133" s="148"/>
      <c r="G133" s="92"/>
      <c r="H133" s="92"/>
      <c r="I133" s="92"/>
      <c r="J133" s="14"/>
      <c r="K133" s="14"/>
      <c r="L133" s="35"/>
      <c r="M133" s="35"/>
      <c r="N133" s="35"/>
      <c r="O133" s="35"/>
      <c r="P133" s="14"/>
      <c r="BH133" s="40"/>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row>
    <row r="134" spans="1:124" ht="7.5" customHeight="1">
      <c r="A134" s="14"/>
      <c r="B134" s="14"/>
      <c r="C134" s="101"/>
      <c r="D134" s="102"/>
      <c r="E134" s="102"/>
      <c r="F134" s="102"/>
      <c r="G134" s="102"/>
      <c r="H134" s="26"/>
      <c r="I134" s="26"/>
      <c r="J134" s="16"/>
      <c r="K134" s="16"/>
      <c r="L134" s="103"/>
      <c r="M134" s="103"/>
      <c r="N134" s="35"/>
      <c r="O134" s="35"/>
      <c r="P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row>
    <row r="135" spans="1:124">
      <c r="A135" s="14"/>
      <c r="B135" s="14"/>
      <c r="C135" s="101" t="str">
        <f>IF($Q$65=TRUE,"Deklarering av produktinformasjon","")</f>
        <v/>
      </c>
      <c r="D135" s="102"/>
      <c r="E135" s="102"/>
      <c r="F135" s="102"/>
      <c r="G135" s="102"/>
      <c r="H135" s="26"/>
      <c r="I135" s="26"/>
      <c r="J135" s="16"/>
      <c r="K135" s="16"/>
      <c r="L135" s="103"/>
      <c r="M135" s="103"/>
      <c r="N135" s="35"/>
      <c r="O135" s="35"/>
      <c r="P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row>
    <row r="136" spans="1:124" ht="27.75" customHeight="1">
      <c r="A136" s="14"/>
      <c r="B136" s="14"/>
      <c r="C136" s="147" t="str">
        <f>IF($Q$65=TRUE,$S$140,IF($S$62=TRUE,"¹⁾ For PFOS er maksinnhold regulert gjennom spesifikasjon REACH vedlegg XVII artikkel 53, se:",IF($R$62=TRUE,"¹⁾ For PFOS er maksinnhold regulert gjennom spesifikasjon REACH vedlegg XVII artikkel 53, se:",IF($S$64=TRUE,"¹⁾ For PFOS er maksinnhold regulert gjennom spesifikasjon REACH vedlegg XVII artikkel 53, se:",IF($R$69=TRUE,"¹⁾ Kortkjedede parafiner er forbudt",IF($R$68=TRUE,"¹⁾ Kortkjedede parafiner er forbudt",IF($R$67=TRUE,"¹⁾ Kortkjedede parafiner er forbudt",IF($S$69=TRUE,"¹⁾ For kadmium i maling er maksinnhold regulert gjennom spesifikasjon REACH vedlegg XVII artikkel 53, se:",$AZ$70))))))))</f>
        <v/>
      </c>
      <c r="D136" s="147"/>
      <c r="E136" s="147"/>
      <c r="F136" s="147"/>
      <c r="G136" s="147"/>
      <c r="H136" s="14"/>
      <c r="I136" s="147" t="str">
        <f>IF(O46=1,"",IF($Q$65=TRUE,S142,""))</f>
        <v/>
      </c>
      <c r="J136" s="147"/>
      <c r="K136" s="147"/>
      <c r="L136" s="147"/>
      <c r="M136" s="37"/>
      <c r="N136" s="35"/>
      <c r="O136" s="35"/>
      <c r="P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row>
    <row r="137" spans="1:124" ht="27.75" customHeight="1">
      <c r="A137" s="14"/>
      <c r="B137" s="14"/>
      <c r="C137" s="148" t="str">
        <f>IF($Q$65=TRUE,S141,IF($S$62=TRUE,"http://www.klif.no/no/Tema/Kjemikalier/Kjemikalieregelverket-REACH/REACH-regelverk/",IF($R$62=TRUE,"http://www.klif.no/no/Tema/Kjemikalier/Kjemikalieregelverket-REACH/REACH-regelverk/",IF($S$64=TRUE,"http://www.klif.no/no/Tema/Kjemikalier/Kjemikalieregelverket-REACH/REACH-regelverk/",IF($S$69=TRUE,"http://www.klif.no/no/Tema/Kjemikalier/Kjemikalieregelverket-REACH/REACH-regelverk/",IF($R$69=TRUE,"²⁾ For kadmium i maling er maksinnhold regulert gjennom spesifikasjon REACH vedlegg XVII artikkel 53, se:",$BA$70))))))</f>
        <v/>
      </c>
      <c r="D137" s="148"/>
      <c r="E137" s="148"/>
      <c r="F137" s="148"/>
      <c r="G137" s="148"/>
      <c r="H137" s="14"/>
      <c r="I137" s="148" t="str">
        <f>IF(O46=1,"",IF($Q$65=TRUE,S143,""))</f>
        <v/>
      </c>
      <c r="J137" s="148"/>
      <c r="K137" s="148"/>
      <c r="L137" s="148"/>
      <c r="M137" s="104"/>
      <c r="N137" s="35"/>
      <c r="O137" s="35"/>
      <c r="P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row>
    <row r="138" spans="1:124" ht="24.75" customHeight="1">
      <c r="A138" s="14"/>
      <c r="B138" s="14"/>
      <c r="C138" s="148"/>
      <c r="D138" s="148"/>
      <c r="E138" s="148"/>
      <c r="F138" s="148"/>
      <c r="G138" s="148"/>
      <c r="H138" s="14"/>
      <c r="I138" s="148" t="str">
        <f>IF(O46=1,"",IF($Q$65=TRUE,S144,""))</f>
        <v/>
      </c>
      <c r="J138" s="148"/>
      <c r="K138" s="148"/>
      <c r="L138" s="148"/>
      <c r="M138" s="104"/>
      <c r="N138" s="35"/>
      <c r="O138" s="35"/>
      <c r="P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row>
    <row r="139" spans="1:124" ht="21" customHeight="1">
      <c r="A139" s="14"/>
      <c r="B139" s="14"/>
      <c r="C139" s="149" t="str">
        <f>IF($R$69=TRUE,"http://www.klif.no/no/Tema/Kjemikalier/Kjemikalieregelverket-REACH/REACH-regelverk/",BB70)</f>
        <v/>
      </c>
      <c r="D139" s="149"/>
      <c r="E139" s="149"/>
      <c r="F139" s="149"/>
      <c r="G139" s="149"/>
      <c r="H139" s="14"/>
      <c r="I139" s="36"/>
      <c r="J139" s="38"/>
      <c r="K139" s="38"/>
      <c r="L139" s="39"/>
      <c r="M139" s="39"/>
      <c r="N139" s="35"/>
      <c r="O139" s="35"/>
      <c r="P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row>
    <row r="140" spans="1:124" ht="21" customHeight="1">
      <c r="A140" s="14"/>
      <c r="B140" s="14"/>
      <c r="C140" s="149"/>
      <c r="D140" s="149"/>
      <c r="E140" s="149"/>
      <c r="F140" s="149"/>
      <c r="G140" s="149"/>
      <c r="H140" s="14"/>
      <c r="I140" s="38"/>
      <c r="J140" s="38"/>
      <c r="K140" s="38"/>
      <c r="L140" s="38"/>
      <c r="M140" s="38"/>
      <c r="N140" s="14"/>
      <c r="O140" s="14"/>
      <c r="P140" s="14"/>
      <c r="S140" s="100" t="s">
        <v>65</v>
      </c>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row>
    <row r="141" spans="1:124">
      <c r="A141" s="14"/>
      <c r="B141" s="14"/>
      <c r="C141" s="14"/>
      <c r="D141" s="14"/>
      <c r="E141" s="14"/>
      <c r="F141" s="14"/>
      <c r="G141" s="14"/>
      <c r="H141" s="14"/>
      <c r="I141" s="14"/>
      <c r="J141" s="14"/>
      <c r="K141" s="14"/>
      <c r="L141" s="14"/>
      <c r="M141" s="14"/>
      <c r="N141" s="14"/>
      <c r="O141" s="14"/>
      <c r="P141" s="14"/>
      <c r="S141" s="93" t="s">
        <v>64</v>
      </c>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row>
    <row r="142" spans="1:124" ht="24.9" customHeight="1">
      <c r="A142" s="14"/>
      <c r="B142" s="14"/>
      <c r="C142" s="171" t="str">
        <f>IF(T57=TRUE,AB185,"")</f>
        <v/>
      </c>
      <c r="D142" s="171"/>
      <c r="E142" s="171"/>
      <c r="F142" s="171"/>
      <c r="G142" s="171"/>
      <c r="H142" s="171"/>
      <c r="I142" s="171"/>
      <c r="J142" s="171"/>
      <c r="K142" s="171"/>
      <c r="L142" s="171"/>
      <c r="M142" s="14"/>
      <c r="N142" s="40"/>
      <c r="O142" s="14"/>
      <c r="P142" s="14"/>
      <c r="S142" s="100" t="s">
        <v>63</v>
      </c>
      <c r="BH142" s="40"/>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row>
    <row r="143" spans="1:124" ht="24.9" customHeight="1">
      <c r="A143" s="14"/>
      <c r="B143" s="14"/>
      <c r="C143" s="171"/>
      <c r="D143" s="171"/>
      <c r="E143" s="171"/>
      <c r="F143" s="171"/>
      <c r="G143" s="171"/>
      <c r="H143" s="171"/>
      <c r="I143" s="171"/>
      <c r="J143" s="171"/>
      <c r="K143" s="171"/>
      <c r="L143" s="171"/>
      <c r="M143" s="14"/>
      <c r="N143" s="14"/>
      <c r="O143" s="14"/>
      <c r="P143" s="14"/>
      <c r="S143" s="100" t="s">
        <v>62</v>
      </c>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row>
    <row r="144" spans="1:124" ht="15" customHeight="1">
      <c r="A144" s="14"/>
      <c r="B144" s="14"/>
      <c r="C144" s="33"/>
      <c r="D144" s="33"/>
      <c r="E144" s="33"/>
      <c r="F144" s="33"/>
      <c r="G144" s="33"/>
      <c r="H144" s="33"/>
      <c r="I144" s="33"/>
      <c r="J144" s="33"/>
      <c r="K144" s="33"/>
      <c r="L144" s="33"/>
      <c r="M144" s="14"/>
      <c r="N144" s="14"/>
      <c r="O144" s="14"/>
      <c r="P144" s="14"/>
      <c r="S144" s="100" t="s">
        <v>61</v>
      </c>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row>
    <row r="145" spans="1:124">
      <c r="A145" s="14"/>
      <c r="B145" s="14"/>
      <c r="C145" s="33"/>
      <c r="D145" s="33"/>
      <c r="E145" s="33"/>
      <c r="F145" s="33"/>
      <c r="G145" s="33"/>
      <c r="H145" s="33"/>
      <c r="I145" s="33"/>
      <c r="J145" s="33"/>
      <c r="K145" s="33"/>
      <c r="L145" s="33"/>
      <c r="M145" s="14"/>
      <c r="N145" s="14"/>
      <c r="O145" s="14"/>
      <c r="P145" s="14"/>
      <c r="S145" s="8"/>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row>
    <row r="146" spans="1:124" ht="15" customHeight="1">
      <c r="A146" s="14"/>
      <c r="B146" s="14"/>
      <c r="C146" s="172" t="str">
        <f>IF($T$57=TRUE,"Handelsnavn","")</f>
        <v/>
      </c>
      <c r="D146" s="172"/>
      <c r="E146" s="172" t="str">
        <f>IF($T$57=TRUE,"Type 
(se over)","")</f>
        <v/>
      </c>
      <c r="F146" s="174" t="str">
        <f>IF($T$57=TRUE,"VOC-innhold (gram/liter, alt. bekreftelse)","")</f>
        <v/>
      </c>
      <c r="G146" s="174"/>
      <c r="H146" s="174" t="str">
        <f>IF($T$57=TRUE,"Vannbasert (VB) eller løsemiddelbasert (LB)","")</f>
        <v/>
      </c>
      <c r="I146" s="174"/>
      <c r="J146" s="172" t="str">
        <f>IF($T$57=TRUE,"VOC-emisjoner etter 3 døgn (mg/m²h el. mg/m³)","")</f>
        <v/>
      </c>
      <c r="K146" s="172"/>
      <c r="L146" s="172" t="str">
        <f>IF($T$57=TRUE,"Svanemerke 
eller EU-blomst","")</f>
        <v/>
      </c>
      <c r="M146" s="41"/>
      <c r="N146" s="174" t="str">
        <f>IF($T$57=TRUE,"Svanemerke/
EU-blomst","")</f>
        <v/>
      </c>
      <c r="O146" s="14"/>
      <c r="P146" s="14"/>
      <c r="S146" s="8" t="s">
        <v>25</v>
      </c>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row>
    <row r="147" spans="1:124">
      <c r="A147" s="14"/>
      <c r="B147" s="14"/>
      <c r="C147" s="172"/>
      <c r="D147" s="172"/>
      <c r="E147" s="172"/>
      <c r="F147" s="106" t="str">
        <f>IF($T$57=TRUE,"gram pr. liter","")</f>
        <v/>
      </c>
      <c r="G147" s="106" t="str">
        <f>IF($T$57=TRUE,"Bekreftelse fra produsent","")</f>
        <v/>
      </c>
      <c r="H147" s="174"/>
      <c r="I147" s="174"/>
      <c r="J147" s="172"/>
      <c r="K147" s="172"/>
      <c r="L147" s="172"/>
      <c r="M147" s="41"/>
      <c r="N147" s="174"/>
      <c r="O147" s="14"/>
      <c r="P147" s="14"/>
      <c r="S147" s="8" t="s">
        <v>26</v>
      </c>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row>
    <row r="148" spans="1:124" ht="15" customHeight="1">
      <c r="A148" s="14"/>
      <c r="B148" s="14"/>
      <c r="C148" s="146"/>
      <c r="D148" s="146"/>
      <c r="E148" s="56"/>
      <c r="F148" s="56"/>
      <c r="G148" s="98"/>
      <c r="H148" s="146"/>
      <c r="I148" s="146"/>
      <c r="J148" s="99"/>
      <c r="K148" s="105"/>
      <c r="L148" s="99"/>
      <c r="M148" s="41"/>
      <c r="N148" s="99"/>
      <c r="O148" s="14"/>
      <c r="P148" s="14"/>
      <c r="R148" s="3" t="b">
        <f>IF(E148="a",TRUE,IF(E148="b",TRUE,FALSE))</f>
        <v>0</v>
      </c>
      <c r="S148" s="8" t="s">
        <v>27</v>
      </c>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row>
    <row r="149" spans="1:124" ht="15" customHeight="1">
      <c r="A149" s="14"/>
      <c r="B149" s="14"/>
      <c r="C149" s="146"/>
      <c r="D149" s="146"/>
      <c r="E149" s="56"/>
      <c r="F149" s="56"/>
      <c r="G149" s="98"/>
      <c r="H149" s="146"/>
      <c r="I149" s="146"/>
      <c r="J149" s="99"/>
      <c r="K149" s="105"/>
      <c r="L149" s="99"/>
      <c r="M149" s="41"/>
      <c r="N149" s="14"/>
      <c r="O149" s="14"/>
      <c r="P149" s="14"/>
      <c r="R149" s="3" t="b">
        <f t="shared" ref="R149:R157" si="5">IF(E149="a",TRUE,IF(E149="b",TRUE,FALSE))</f>
        <v>0</v>
      </c>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row>
    <row r="150" spans="1:124" ht="15" customHeight="1">
      <c r="A150" s="14"/>
      <c r="B150" s="14"/>
      <c r="C150" s="146"/>
      <c r="D150" s="146"/>
      <c r="E150" s="56"/>
      <c r="F150" s="56"/>
      <c r="G150" s="98"/>
      <c r="H150" s="146"/>
      <c r="I150" s="146"/>
      <c r="J150" s="99"/>
      <c r="K150" s="105"/>
      <c r="L150" s="99"/>
      <c r="M150" s="41"/>
      <c r="N150" s="14"/>
      <c r="O150" s="14"/>
      <c r="P150" s="14"/>
      <c r="R150" s="3" t="b">
        <f t="shared" si="5"/>
        <v>0</v>
      </c>
      <c r="V150" s="87"/>
      <c r="W150" s="5"/>
      <c r="Y150" s="5"/>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row>
    <row r="151" spans="1:124">
      <c r="A151" s="14"/>
      <c r="B151" s="14"/>
      <c r="C151" s="146"/>
      <c r="D151" s="146"/>
      <c r="E151" s="56"/>
      <c r="F151" s="56"/>
      <c r="G151" s="98"/>
      <c r="H151" s="146"/>
      <c r="I151" s="146"/>
      <c r="J151" s="99"/>
      <c r="K151" s="105"/>
      <c r="L151" s="99"/>
      <c r="M151" s="41"/>
      <c r="N151" s="14"/>
      <c r="O151" s="14"/>
      <c r="P151" s="14"/>
      <c r="R151" s="3" t="b">
        <f t="shared" si="5"/>
        <v>0</v>
      </c>
      <c r="V151" s="87"/>
      <c r="W151" s="5"/>
      <c r="Y151" s="5"/>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row>
    <row r="152" spans="1:124">
      <c r="A152" s="14"/>
      <c r="B152" s="14"/>
      <c r="C152" s="146"/>
      <c r="D152" s="146"/>
      <c r="E152" s="56"/>
      <c r="F152" s="56"/>
      <c r="G152" s="98"/>
      <c r="H152" s="146"/>
      <c r="I152" s="146"/>
      <c r="J152" s="99"/>
      <c r="K152" s="105"/>
      <c r="L152" s="99"/>
      <c r="M152" s="41"/>
      <c r="N152" s="14"/>
      <c r="O152" s="14"/>
      <c r="P152" s="14"/>
      <c r="R152" s="3" t="b">
        <f t="shared" si="5"/>
        <v>0</v>
      </c>
      <c r="S152" s="8" t="s">
        <v>38</v>
      </c>
      <c r="T152" s="3" t="s">
        <v>45</v>
      </c>
      <c r="V152" s="87"/>
      <c r="W152" s="5"/>
      <c r="Y152" s="5"/>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row>
    <row r="153" spans="1:124">
      <c r="A153" s="14"/>
      <c r="B153" s="14"/>
      <c r="C153" s="146"/>
      <c r="D153" s="146"/>
      <c r="E153" s="56"/>
      <c r="F153" s="56"/>
      <c r="G153" s="98"/>
      <c r="H153" s="146"/>
      <c r="I153" s="146"/>
      <c r="J153" s="99"/>
      <c r="K153" s="105"/>
      <c r="L153" s="99"/>
      <c r="M153" s="41"/>
      <c r="N153" s="14"/>
      <c r="O153" s="14"/>
      <c r="P153" s="14"/>
      <c r="R153" s="3" t="b">
        <f t="shared" si="5"/>
        <v>0</v>
      </c>
      <c r="S153" s="8" t="s">
        <v>37</v>
      </c>
      <c r="T153" s="3" t="s">
        <v>46</v>
      </c>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row>
    <row r="154" spans="1:124">
      <c r="A154" s="14"/>
      <c r="B154" s="14"/>
      <c r="C154" s="146"/>
      <c r="D154" s="146"/>
      <c r="E154" s="56"/>
      <c r="F154" s="56"/>
      <c r="G154" s="98"/>
      <c r="H154" s="146"/>
      <c r="I154" s="146"/>
      <c r="J154" s="99"/>
      <c r="K154" s="105"/>
      <c r="L154" s="99"/>
      <c r="M154" s="41"/>
      <c r="N154" s="14"/>
      <c r="O154" s="14"/>
      <c r="P154" s="14"/>
      <c r="R154" s="3" t="b">
        <f t="shared" si="5"/>
        <v>0</v>
      </c>
      <c r="S154" s="3" t="s">
        <v>94</v>
      </c>
      <c r="W154" s="3" t="s">
        <v>69</v>
      </c>
      <c r="AB154" s="94" t="str">
        <f>IF(T57=TRUE,"a) Matt innendørs vegg- og takmaling (glansgrad ≤ 25 @ 60°)","")</f>
        <v/>
      </c>
      <c r="AH154" s="3" t="s">
        <v>6</v>
      </c>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row>
    <row r="155" spans="1:124">
      <c r="A155" s="14"/>
      <c r="B155" s="14"/>
      <c r="C155" s="146"/>
      <c r="D155" s="146"/>
      <c r="E155" s="56"/>
      <c r="F155" s="56"/>
      <c r="G155" s="98"/>
      <c r="H155" s="146"/>
      <c r="I155" s="146"/>
      <c r="J155" s="99"/>
      <c r="K155" s="105"/>
      <c r="L155" s="99"/>
      <c r="M155" s="41"/>
      <c r="N155" s="14"/>
      <c r="O155" s="14"/>
      <c r="P155" s="14"/>
      <c r="R155" s="3" t="b">
        <f t="shared" si="5"/>
        <v>0</v>
      </c>
      <c r="S155" s="3" t="s">
        <v>95</v>
      </c>
      <c r="T155" s="8" t="s">
        <v>66</v>
      </c>
      <c r="W155" s="3" t="s">
        <v>93</v>
      </c>
      <c r="AB155" s="94" t="str">
        <f>IF(T57=TRUE,"b) Blank innendørs vegg- og takmaling (glansgrad &gt; 25 @ 60°)","")</f>
        <v/>
      </c>
      <c r="AH155" s="3" t="s">
        <v>24</v>
      </c>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row>
    <row r="156" spans="1:124">
      <c r="A156" s="14"/>
      <c r="B156" s="14"/>
      <c r="C156" s="146"/>
      <c r="D156" s="146"/>
      <c r="E156" s="56"/>
      <c r="F156" s="56"/>
      <c r="G156" s="98"/>
      <c r="H156" s="146"/>
      <c r="I156" s="146"/>
      <c r="J156" s="99"/>
      <c r="K156" s="105"/>
      <c r="L156" s="99"/>
      <c r="M156" s="41"/>
      <c r="N156" s="14"/>
      <c r="O156" s="14"/>
      <c r="P156" s="14"/>
      <c r="R156" s="3" t="b">
        <f t="shared" si="5"/>
        <v>0</v>
      </c>
      <c r="S156" s="3" t="s">
        <v>39</v>
      </c>
      <c r="T156" s="3" t="b">
        <f>IF(G148="",TRUE,FALSE)</f>
        <v>1</v>
      </c>
      <c r="U156" s="3" t="b">
        <f>IF(F148="",TRUE,FALSE)</f>
        <v>1</v>
      </c>
      <c r="V156" s="3" t="b">
        <f>AND(T156,U156)</f>
        <v>1</v>
      </c>
      <c r="W156" s="12" t="str">
        <f>IF(V156=TRUE,"",IF(T156=FALSE,$W$155,F148&amp;" "&amp;$W$154))</f>
        <v/>
      </c>
      <c r="Y156" s="4" t="b">
        <f>IF(E148="",TRUE,IF(E148="a",TRUE,IF(E148="b",TRUE,FALSE)))</f>
        <v>1</v>
      </c>
      <c r="Z156" s="12" t="str">
        <f>IF(H148="Løsemiddelbasert","LB",IF(H148="Vannbasert","VB",""))</f>
        <v/>
      </c>
      <c r="AB156" s="94" t="str">
        <f>IF(T57=TRUE,"c) Utendørs maling for mineralske flater","")</f>
        <v/>
      </c>
      <c r="AH156" s="3" t="s">
        <v>7</v>
      </c>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row>
    <row r="157" spans="1:124" ht="15" customHeight="1">
      <c r="A157" s="14"/>
      <c r="B157" s="14"/>
      <c r="C157" s="146"/>
      <c r="D157" s="146"/>
      <c r="E157" s="56"/>
      <c r="F157" s="56"/>
      <c r="G157" s="98"/>
      <c r="H157" s="146"/>
      <c r="I157" s="146"/>
      <c r="J157" s="99"/>
      <c r="K157" s="105"/>
      <c r="L157" s="99"/>
      <c r="M157" s="41"/>
      <c r="N157" s="14"/>
      <c r="O157" s="14"/>
      <c r="P157" s="14"/>
      <c r="R157" s="3" t="b">
        <f t="shared" si="5"/>
        <v>0</v>
      </c>
      <c r="S157" s="3" t="s">
        <v>36</v>
      </c>
      <c r="T157" s="3" t="b">
        <f t="shared" ref="T157:T164" si="6">IF(G149="",TRUE,FALSE)</f>
        <v>1</v>
      </c>
      <c r="U157" s="3" t="b">
        <f t="shared" ref="U157:U165" si="7">IF(F149="",TRUE,FALSE)</f>
        <v>1</v>
      </c>
      <c r="V157" s="3" t="b">
        <f t="shared" ref="V157:V165" si="8">AND(T157,U157)</f>
        <v>1</v>
      </c>
      <c r="W157" s="12" t="str">
        <f t="shared" ref="W157:W165" si="9">IF(V157=TRUE,"",IF(T157=FALSE,$W$155,F149&amp;" "&amp;$W$154))</f>
        <v/>
      </c>
      <c r="Y157" s="4" t="b">
        <f t="shared" ref="Y157:Y165" si="10">IF(E149="",TRUE,IF(E149="a",TRUE,IF(E149="b",TRUE,FALSE)))</f>
        <v>1</v>
      </c>
      <c r="Z157" s="12" t="str">
        <f t="shared" ref="Z157:Z165" si="11">IF(H149="Løsemiddelbasert","LB",IF(H149="Vannbasert","VB",""))</f>
        <v/>
      </c>
      <c r="AB157" s="94" t="str">
        <f>IF(T57=TRUE,"d) Maling for treverk, metall og plast innendørs/utendørs","")</f>
        <v/>
      </c>
      <c r="AH157" s="3" t="s">
        <v>8</v>
      </c>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row>
    <row r="158" spans="1:124">
      <c r="A158" s="14"/>
      <c r="B158" s="14"/>
      <c r="C158" s="43"/>
      <c r="D158" s="43"/>
      <c r="E158" s="42"/>
      <c r="F158" s="42"/>
      <c r="G158" s="43"/>
      <c r="H158" s="43"/>
      <c r="I158" s="43"/>
      <c r="J158" s="43"/>
      <c r="K158" s="43"/>
      <c r="L158" s="42"/>
      <c r="M158" s="41"/>
      <c r="N158" s="14"/>
      <c r="O158" s="40" t="str">
        <f>IF(Q65=TRUE,"Til utskrift","")</f>
        <v/>
      </c>
      <c r="P158" s="14"/>
      <c r="S158" s="3" t="s">
        <v>40</v>
      </c>
      <c r="T158" s="3" t="b">
        <f t="shared" si="6"/>
        <v>1</v>
      </c>
      <c r="U158" s="3" t="b">
        <f t="shared" si="7"/>
        <v>1</v>
      </c>
      <c r="V158" s="3" t="b">
        <f t="shared" si="8"/>
        <v>1</v>
      </c>
      <c r="W158" s="12" t="str">
        <f t="shared" si="9"/>
        <v/>
      </c>
      <c r="Y158" s="4" t="b">
        <f t="shared" si="10"/>
        <v>1</v>
      </c>
      <c r="Z158" s="12" t="str">
        <f t="shared" si="11"/>
        <v/>
      </c>
      <c r="AB158" s="94" t="str">
        <f>IF(T57=TRUE,"e) Lakk, lasur og beis for innendørs/utendørs behandling av tre, metall og plast","")</f>
        <v/>
      </c>
      <c r="AH158" s="3" t="s">
        <v>9</v>
      </c>
      <c r="BH158" s="40"/>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row>
    <row r="159" spans="1:124">
      <c r="A159" s="14"/>
      <c r="B159" s="14"/>
      <c r="C159" s="173" t="str">
        <f>IF(Q46=TRUE,"",IF(T166=FALSE,T169,""))</f>
        <v/>
      </c>
      <c r="D159" s="173"/>
      <c r="E159" s="173"/>
      <c r="F159" s="173"/>
      <c r="G159" s="173"/>
      <c r="H159" s="173"/>
      <c r="I159" s="173"/>
      <c r="J159" s="173"/>
      <c r="K159" s="173"/>
      <c r="L159" s="173"/>
      <c r="M159" s="14"/>
      <c r="N159" s="14"/>
      <c r="O159" s="14"/>
      <c r="P159" s="14"/>
      <c r="S159" s="3" t="s">
        <v>41</v>
      </c>
      <c r="T159" s="3" t="b">
        <f t="shared" si="6"/>
        <v>1</v>
      </c>
      <c r="U159" s="3" t="b">
        <f t="shared" si="7"/>
        <v>1</v>
      </c>
      <c r="V159" s="3" t="b">
        <f t="shared" si="8"/>
        <v>1</v>
      </c>
      <c r="W159" s="12" t="str">
        <f t="shared" si="9"/>
        <v/>
      </c>
      <c r="Y159" s="4" t="b">
        <f t="shared" si="10"/>
        <v>1</v>
      </c>
      <c r="Z159" s="12" t="str">
        <f t="shared" si="11"/>
        <v/>
      </c>
      <c r="AB159" s="94" t="str">
        <f>IF(T57=TRUE,"f) Tynnsjiktet lasur, olje eller beis","")</f>
        <v/>
      </c>
      <c r="AH159" s="3" t="s">
        <v>10</v>
      </c>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row>
    <row r="160" spans="1:124">
      <c r="A160" s="14"/>
      <c r="B160" s="14"/>
      <c r="C160" s="173"/>
      <c r="D160" s="173"/>
      <c r="E160" s="173"/>
      <c r="F160" s="173"/>
      <c r="G160" s="173"/>
      <c r="H160" s="173"/>
      <c r="I160" s="173"/>
      <c r="J160" s="173"/>
      <c r="K160" s="173"/>
      <c r="L160" s="173"/>
      <c r="M160" s="14"/>
      <c r="N160" s="14"/>
      <c r="O160" s="14"/>
      <c r="P160" s="16"/>
      <c r="Q160" s="4"/>
      <c r="R160" s="4"/>
      <c r="S160" s="4" t="s">
        <v>31</v>
      </c>
      <c r="T160" s="3" t="b">
        <f t="shared" si="6"/>
        <v>1</v>
      </c>
      <c r="U160" s="3" t="b">
        <f t="shared" si="7"/>
        <v>1</v>
      </c>
      <c r="V160" s="3" t="b">
        <f t="shared" si="8"/>
        <v>1</v>
      </c>
      <c r="W160" s="12" t="str">
        <f t="shared" si="9"/>
        <v/>
      </c>
      <c r="Y160" s="4" t="b">
        <f t="shared" si="10"/>
        <v>1</v>
      </c>
      <c r="Z160" s="12" t="str">
        <f t="shared" si="11"/>
        <v/>
      </c>
      <c r="AA160" s="4"/>
      <c r="AB160" s="95" t="str">
        <f>IF(T57=TRUE,"g) Grunning","")</f>
        <v/>
      </c>
      <c r="AC160" s="4"/>
      <c r="AD160" s="4"/>
      <c r="AE160" s="4"/>
      <c r="AF160" s="4"/>
      <c r="AG160" s="4"/>
      <c r="AH160" s="4"/>
      <c r="AI160" s="4"/>
      <c r="AJ160" s="4"/>
      <c r="AK160" s="4"/>
      <c r="AL160" s="4"/>
      <c r="AM160" s="4"/>
      <c r="AN160" s="4" t="b">
        <f>IF(BH173="",TRUE,FALSE)</f>
        <v>1</v>
      </c>
      <c r="AO160" s="4"/>
      <c r="AP160" s="4"/>
      <c r="AQ160" s="4"/>
      <c r="AR160" s="4"/>
      <c r="AS160" s="4"/>
      <c r="AT160" s="4"/>
      <c r="AU160" s="4"/>
      <c r="AV160" s="4"/>
      <c r="AW160" s="4"/>
      <c r="AX160" s="4"/>
      <c r="AY160" s="4"/>
      <c r="AZ160" s="4"/>
      <c r="BA160" s="4"/>
      <c r="BB160" s="4"/>
      <c r="BC160" s="4"/>
      <c r="BD160" s="4"/>
      <c r="BE160" s="4"/>
      <c r="BF160" s="4"/>
      <c r="BG160" s="4"/>
      <c r="BH160" s="16"/>
      <c r="BI160" s="16"/>
      <c r="BJ160" s="16"/>
      <c r="BK160" s="16"/>
      <c r="BL160" s="16"/>
      <c r="BM160" s="16"/>
      <c r="BN160" s="16"/>
      <c r="BO160" s="16"/>
      <c r="BP160" s="16"/>
      <c r="BQ160" s="16"/>
      <c r="BR160" s="16"/>
      <c r="BS160" s="16"/>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row>
    <row r="161" spans="1:124">
      <c r="A161" s="14"/>
      <c r="B161" s="14"/>
      <c r="C161" s="173"/>
      <c r="D161" s="173"/>
      <c r="E161" s="173"/>
      <c r="F161" s="173"/>
      <c r="G161" s="173"/>
      <c r="H161" s="173"/>
      <c r="I161" s="173"/>
      <c r="J161" s="173"/>
      <c r="K161" s="173"/>
      <c r="L161" s="173"/>
      <c r="M161" s="14"/>
      <c r="N161" s="14"/>
      <c r="O161" s="14"/>
      <c r="P161" s="16"/>
      <c r="Q161" s="4"/>
      <c r="R161" s="4"/>
      <c r="S161" s="4" t="s">
        <v>33</v>
      </c>
      <c r="T161" s="3" t="b">
        <f t="shared" si="6"/>
        <v>1</v>
      </c>
      <c r="U161" s="3" t="b">
        <f t="shared" si="7"/>
        <v>1</v>
      </c>
      <c r="V161" s="3" t="b">
        <f t="shared" si="8"/>
        <v>1</v>
      </c>
      <c r="W161" s="12" t="str">
        <f t="shared" si="9"/>
        <v/>
      </c>
      <c r="Y161" s="4" t="b">
        <f t="shared" si="10"/>
        <v>1</v>
      </c>
      <c r="Z161" s="12" t="str">
        <f t="shared" si="11"/>
        <v/>
      </c>
      <c r="AA161" s="4"/>
      <c r="AB161" s="95" t="str">
        <f>IF(T57=TRUE,"h) Heftgrunning","")</f>
        <v/>
      </c>
      <c r="AC161" s="4"/>
      <c r="AD161" s="4"/>
      <c r="AE161" s="4"/>
      <c r="AF161" s="4"/>
      <c r="AG161" s="4"/>
      <c r="AH161" s="4"/>
      <c r="AI161" s="4"/>
      <c r="AJ161" s="4"/>
      <c r="AK161" s="4"/>
      <c r="AL161" s="4"/>
      <c r="AM161" s="4"/>
      <c r="AN161" s="4" t="b">
        <f>OR(AO161,AP161)</f>
        <v>0</v>
      </c>
      <c r="AO161" s="4" t="b">
        <f>IF(O46=2,IF(O58=9,TRUE,FALSE))</f>
        <v>0</v>
      </c>
      <c r="AP161" s="4" t="b">
        <f>IF(O46=2,IF(O58=10,TRUE,FALSE))</f>
        <v>0</v>
      </c>
      <c r="AQ161" s="4"/>
      <c r="AR161" s="4"/>
      <c r="AS161" s="4"/>
      <c r="AT161" s="4"/>
      <c r="AU161" s="4"/>
      <c r="AV161" s="4"/>
      <c r="AW161" s="4"/>
      <c r="AX161" s="4"/>
      <c r="AY161" s="4"/>
      <c r="AZ161" s="4"/>
      <c r="BA161" s="4"/>
      <c r="BB161" s="4"/>
      <c r="BC161" s="4"/>
      <c r="BD161" s="4"/>
      <c r="BE161" s="4"/>
      <c r="BF161" s="4"/>
      <c r="BG161" s="4"/>
      <c r="BH161" s="16"/>
      <c r="BI161" s="16"/>
      <c r="BJ161" s="16"/>
      <c r="BK161" s="16"/>
      <c r="BL161" s="16"/>
      <c r="BM161" s="16"/>
      <c r="BN161" s="16"/>
      <c r="BO161" s="16"/>
      <c r="BP161" s="16"/>
      <c r="BQ161" s="16"/>
      <c r="BR161" s="16"/>
      <c r="BS161" s="16"/>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row>
    <row r="162" spans="1:124">
      <c r="A162" s="14"/>
      <c r="B162" s="14"/>
      <c r="C162" s="43"/>
      <c r="D162" s="43"/>
      <c r="E162" s="42"/>
      <c r="F162" s="42"/>
      <c r="G162" s="43"/>
      <c r="H162" s="43"/>
      <c r="I162" s="43"/>
      <c r="J162" s="43"/>
      <c r="K162" s="43"/>
      <c r="L162" s="42"/>
      <c r="M162" s="14"/>
      <c r="N162" s="14"/>
      <c r="O162" s="14"/>
      <c r="P162" s="16"/>
      <c r="Q162" s="4"/>
      <c r="R162" s="4"/>
      <c r="S162" s="4" t="s">
        <v>35</v>
      </c>
      <c r="T162" s="3" t="b">
        <f t="shared" si="6"/>
        <v>1</v>
      </c>
      <c r="U162" s="3" t="b">
        <f t="shared" si="7"/>
        <v>1</v>
      </c>
      <c r="V162" s="3" t="b">
        <f t="shared" si="8"/>
        <v>1</v>
      </c>
      <c r="W162" s="12" t="str">
        <f t="shared" si="9"/>
        <v/>
      </c>
      <c r="Y162" s="4" t="b">
        <f t="shared" si="10"/>
        <v>1</v>
      </c>
      <c r="Z162" s="12" t="str">
        <f t="shared" si="11"/>
        <v/>
      </c>
      <c r="AA162" s="4"/>
      <c r="AB162" s="95" t="str">
        <f>IF(T57=TRUE,"i) Enkomponent spesialmaling","")</f>
        <v/>
      </c>
      <c r="AC162" s="4"/>
      <c r="AD162" s="4"/>
      <c r="AE162" s="4"/>
      <c r="AF162" s="4"/>
      <c r="AG162" s="4"/>
      <c r="AH162" s="4"/>
      <c r="AI162" s="10" t="str">
        <f>CONCATENATE(E148,"
",E149,"
",E150)</f>
        <v xml:space="preserve">
</v>
      </c>
      <c r="AJ162" s="10" t="str">
        <f>CONCATENATE(AJ166,"
",AJ167,"
",AJ168)</f>
        <v xml:space="preserve">
</v>
      </c>
      <c r="AK162" s="10" t="str">
        <f>CONCATENATE(AM166," ",AN166,"
",AM167," ",AN167,"
",AM168," ",AN168)</f>
        <v>0 0
0 0
0 0</v>
      </c>
      <c r="AL162" s="10" t="str">
        <f>CONCATENATE(AL166,"
",AL167,"
",AL168)</f>
        <v xml:space="preserve">
</v>
      </c>
      <c r="AM162" s="10" t="str">
        <f>CONCATENATE(L148,"
",L149,"
",L150)</f>
        <v xml:space="preserve">
</v>
      </c>
      <c r="AN162" s="4" t="b">
        <f>IF(BH181="Navn på produsent mangler!",TRUE,FALSE)</f>
        <v>1</v>
      </c>
      <c r="AO162" s="4"/>
      <c r="AP162" s="4"/>
      <c r="AQ162" s="4"/>
      <c r="AR162" s="4"/>
      <c r="AS162" s="4"/>
      <c r="AT162" s="4"/>
      <c r="AU162" s="4"/>
      <c r="AV162" s="4"/>
      <c r="AW162" s="4"/>
      <c r="AX162" s="4"/>
      <c r="AY162" s="4"/>
      <c r="AZ162" s="4"/>
      <c r="BA162" s="4"/>
      <c r="BB162" s="4"/>
      <c r="BC162" s="4"/>
      <c r="BD162" s="4"/>
      <c r="BE162" s="4"/>
      <c r="BF162" s="4"/>
      <c r="BG162" s="4"/>
      <c r="BH162" s="16"/>
      <c r="BI162" s="16"/>
      <c r="BJ162" s="16"/>
      <c r="BK162" s="16"/>
      <c r="BL162" s="16"/>
      <c r="BM162" s="16"/>
      <c r="BN162" s="16"/>
      <c r="BO162" s="16"/>
      <c r="BP162" s="16"/>
      <c r="BQ162" s="16"/>
      <c r="BR162" s="16"/>
      <c r="BS162" s="16"/>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row>
    <row r="163" spans="1:124">
      <c r="A163" s="14"/>
      <c r="B163" s="14"/>
      <c r="C163" s="43"/>
      <c r="D163" s="43"/>
      <c r="E163" s="42"/>
      <c r="F163" s="42"/>
      <c r="G163" s="43"/>
      <c r="H163" s="43"/>
      <c r="I163" s="43"/>
      <c r="J163" s="43"/>
      <c r="K163" s="43"/>
      <c r="L163" s="42"/>
      <c r="M163" s="41"/>
      <c r="N163" s="41"/>
      <c r="O163" s="41"/>
      <c r="P163" s="44"/>
      <c r="Q163" s="4"/>
      <c r="R163" s="4"/>
      <c r="S163" s="4" t="s">
        <v>32</v>
      </c>
      <c r="T163" s="3" t="b">
        <f t="shared" si="6"/>
        <v>1</v>
      </c>
      <c r="U163" s="3" t="b">
        <f t="shared" si="7"/>
        <v>1</v>
      </c>
      <c r="V163" s="3" t="b">
        <f t="shared" si="8"/>
        <v>1</v>
      </c>
      <c r="W163" s="12" t="str">
        <f t="shared" si="9"/>
        <v/>
      </c>
      <c r="Y163" s="4" t="b">
        <f t="shared" si="10"/>
        <v>1</v>
      </c>
      <c r="Z163" s="12" t="str">
        <f t="shared" si="11"/>
        <v/>
      </c>
      <c r="AA163" s="4"/>
      <c r="AB163" s="95" t="str">
        <f>IF(T57=TRUE,"j) Tokomponent spesialmaling","")</f>
        <v/>
      </c>
      <c r="AC163" s="4"/>
      <c r="AD163" s="4"/>
      <c r="AE163" s="4"/>
      <c r="AF163" s="4"/>
      <c r="AG163" s="4"/>
      <c r="AH163" s="4"/>
      <c r="AI163" s="10" t="str">
        <f>CONCATENATE(E153,"
",E154)</f>
        <v xml:space="preserve">
</v>
      </c>
      <c r="AJ163" s="10" t="str">
        <f>CONCATENATE(AJ169,"
",AJ170)</f>
        <v xml:space="preserve">
</v>
      </c>
      <c r="AK163" s="10" t="str">
        <f>CONCATENATE(AM169," ",AN169,"
",AM170," ",AN170)</f>
        <v>0 0
0 0</v>
      </c>
      <c r="AL163" s="10" t="str">
        <f>CONCATENATE(AL169,"
",AL170)</f>
        <v xml:space="preserve">
</v>
      </c>
      <c r="AM163" s="10" t="str">
        <f>CONCATENATE(L153,"
",L154)</f>
        <v xml:space="preserve">
</v>
      </c>
      <c r="AN163" s="4" t="b">
        <f>OR(AN160:AN162)</f>
        <v>1</v>
      </c>
      <c r="AO163" s="4"/>
      <c r="AP163" s="4"/>
      <c r="AQ163" s="4"/>
      <c r="AR163" s="4"/>
      <c r="AS163" s="4"/>
      <c r="AT163" s="4"/>
      <c r="AU163" s="4"/>
      <c r="AV163" s="4"/>
      <c r="AW163" s="4"/>
      <c r="AX163" s="4"/>
      <c r="AY163" s="4"/>
      <c r="AZ163" s="4"/>
      <c r="BA163" s="4"/>
      <c r="BB163" s="4"/>
      <c r="BC163" s="4"/>
      <c r="BD163" s="4"/>
      <c r="BE163" s="4"/>
      <c r="BF163" s="4"/>
      <c r="BG163" s="4"/>
      <c r="BH163" s="16"/>
      <c r="BI163" s="16"/>
      <c r="BJ163" s="16"/>
      <c r="BK163" s="16"/>
      <c r="BL163" s="16"/>
      <c r="BM163" s="16"/>
      <c r="BN163" s="16"/>
      <c r="BO163" s="16"/>
      <c r="BP163" s="16"/>
      <c r="BQ163" s="16"/>
      <c r="BR163" s="16"/>
      <c r="BS163" s="16"/>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row>
    <row r="164" spans="1:124">
      <c r="A164" s="14"/>
      <c r="B164" s="14"/>
      <c r="C164" s="43"/>
      <c r="D164" s="43"/>
      <c r="E164" s="42"/>
      <c r="F164" s="42"/>
      <c r="G164" s="43"/>
      <c r="H164" s="43"/>
      <c r="I164" s="43"/>
      <c r="J164" s="43"/>
      <c r="K164" s="43"/>
      <c r="L164" s="42"/>
      <c r="M164" s="14"/>
      <c r="N164" s="14"/>
      <c r="O164" s="14"/>
      <c r="P164" s="16"/>
      <c r="Q164" s="4"/>
      <c r="R164" s="4"/>
      <c r="S164" s="4" t="s">
        <v>42</v>
      </c>
      <c r="T164" s="3" t="b">
        <f t="shared" si="6"/>
        <v>1</v>
      </c>
      <c r="U164" s="3" t="b">
        <f t="shared" si="7"/>
        <v>1</v>
      </c>
      <c r="V164" s="3" t="b">
        <f t="shared" si="8"/>
        <v>1</v>
      </c>
      <c r="W164" s="12" t="str">
        <f t="shared" si="9"/>
        <v/>
      </c>
      <c r="Y164" s="4" t="b">
        <f t="shared" si="10"/>
        <v>1</v>
      </c>
      <c r="Z164" s="12" t="str">
        <f t="shared" si="11"/>
        <v/>
      </c>
      <c r="AA164" s="4"/>
      <c r="AB164" s="95" t="str">
        <f>IF(T57=TRUE,"k) Flerfargede malinger","")</f>
        <v/>
      </c>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16"/>
      <c r="BI164" s="16"/>
      <c r="BJ164" s="16"/>
      <c r="BK164" s="16"/>
      <c r="BL164" s="16"/>
      <c r="BM164" s="16"/>
      <c r="BN164" s="16"/>
      <c r="BO164" s="16"/>
      <c r="BP164" s="16"/>
      <c r="BQ164" s="16"/>
      <c r="BR164" s="16"/>
      <c r="BS164" s="16"/>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row>
    <row r="165" spans="1:124">
      <c r="A165" s="14"/>
      <c r="B165" s="14"/>
      <c r="C165" s="43"/>
      <c r="D165" s="43"/>
      <c r="E165" s="42"/>
      <c r="F165" s="42"/>
      <c r="G165" s="43"/>
      <c r="H165" s="43"/>
      <c r="I165" s="43"/>
      <c r="J165" s="43"/>
      <c r="K165" s="43"/>
      <c r="L165" s="42"/>
      <c r="M165" s="14"/>
      <c r="N165" s="14"/>
      <c r="O165" s="14"/>
      <c r="P165" s="16"/>
      <c r="Q165" s="4"/>
      <c r="R165" s="4"/>
      <c r="S165" s="4" t="s">
        <v>34</v>
      </c>
      <c r="T165" s="3" t="b">
        <f>IF(G157="",TRUE,FALSE)</f>
        <v>1</v>
      </c>
      <c r="U165" s="3" t="b">
        <f t="shared" si="7"/>
        <v>1</v>
      </c>
      <c r="V165" s="3" t="b">
        <f t="shared" si="8"/>
        <v>1</v>
      </c>
      <c r="W165" s="12" t="str">
        <f t="shared" si="9"/>
        <v/>
      </c>
      <c r="Y165" s="4" t="b">
        <f t="shared" si="10"/>
        <v>1</v>
      </c>
      <c r="Z165" s="12" t="str">
        <f t="shared" si="11"/>
        <v/>
      </c>
      <c r="AA165" s="4"/>
      <c r="AB165" s="95" t="str">
        <f>IF(T57=TRUE,"l) Effektmaling","")</f>
        <v/>
      </c>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16"/>
      <c r="BI165" s="16"/>
      <c r="BJ165" s="16"/>
      <c r="BK165" s="16"/>
      <c r="BL165" s="16"/>
      <c r="BM165" s="16"/>
      <c r="BN165" s="16"/>
      <c r="BO165" s="16"/>
      <c r="BP165" s="16"/>
      <c r="BQ165" s="16"/>
      <c r="BR165" s="16"/>
      <c r="BS165" s="16"/>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row>
    <row r="166" spans="1:124">
      <c r="A166" s="14"/>
      <c r="B166" s="14"/>
      <c r="C166" s="43"/>
      <c r="D166" s="43"/>
      <c r="E166" s="42"/>
      <c r="F166" s="42"/>
      <c r="G166" s="43"/>
      <c r="H166" s="43"/>
      <c r="I166" s="43"/>
      <c r="J166" s="43"/>
      <c r="K166" s="43"/>
      <c r="L166" s="42"/>
      <c r="M166" s="14"/>
      <c r="N166" s="14"/>
      <c r="O166" s="14"/>
      <c r="P166" s="16"/>
      <c r="Q166" s="4"/>
      <c r="R166" s="4"/>
      <c r="S166" s="4" t="s">
        <v>43</v>
      </c>
      <c r="T166" s="3" t="b">
        <f>IF(Q46=TRUE,TRUE,AND(T156:T165))</f>
        <v>1</v>
      </c>
      <c r="W166" s="4"/>
      <c r="X166" s="4"/>
      <c r="Y166" s="4"/>
      <c r="Z166" s="4"/>
      <c r="AA166" s="4"/>
      <c r="AB166" s="4"/>
      <c r="AC166" s="4"/>
      <c r="AD166" s="4"/>
      <c r="AE166" s="4"/>
      <c r="AF166" s="4"/>
      <c r="AG166" s="4"/>
      <c r="AH166" s="4"/>
      <c r="AI166" s="4"/>
      <c r="AJ166" s="91" t="str">
        <f>IF(C148="","",C148&amp;" ("&amp;Z156&amp;")")</f>
        <v/>
      </c>
      <c r="AK166" s="4"/>
      <c r="AL166" s="91" t="str">
        <f>IF(V156=TRUE,"",IF(T156=TRUE,W156,W156))</f>
        <v/>
      </c>
      <c r="AM166" s="4">
        <f>IF($Y$156=FALSE,"",J148)</f>
        <v>0</v>
      </c>
      <c r="AN166" s="4">
        <f>IF(Y156=FALSE,"",K148)</f>
        <v>0</v>
      </c>
      <c r="AO166" s="4"/>
      <c r="AP166" s="4"/>
      <c r="AQ166" s="4"/>
      <c r="AR166" s="4"/>
      <c r="AS166" s="4"/>
      <c r="AT166" s="4"/>
      <c r="AU166" s="4"/>
      <c r="AV166" s="4"/>
      <c r="AW166" s="4"/>
      <c r="AX166" s="4"/>
      <c r="AY166" s="4"/>
      <c r="AZ166" s="4"/>
      <c r="BA166" s="4"/>
      <c r="BB166" s="4"/>
      <c r="BC166" s="4"/>
      <c r="BD166" s="4"/>
      <c r="BE166" s="4"/>
      <c r="BF166" s="4"/>
      <c r="BG166" s="4"/>
      <c r="BH166" s="16"/>
      <c r="BI166" s="16"/>
      <c r="BJ166" s="16"/>
      <c r="BK166" s="16"/>
      <c r="BL166" s="16"/>
      <c r="BM166" s="16"/>
      <c r="BN166" s="16"/>
      <c r="BO166" s="16"/>
      <c r="BP166" s="16"/>
      <c r="BQ166" s="16"/>
      <c r="BR166" s="16"/>
      <c r="BS166" s="16"/>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row>
    <row r="167" spans="1:124">
      <c r="A167" s="14"/>
      <c r="B167" s="14"/>
      <c r="C167" s="43"/>
      <c r="D167" s="43"/>
      <c r="E167" s="42"/>
      <c r="F167" s="42"/>
      <c r="G167" s="43"/>
      <c r="H167" s="43"/>
      <c r="I167" s="43"/>
      <c r="J167" s="43"/>
      <c r="K167" s="43"/>
      <c r="L167" s="42"/>
      <c r="M167" s="14"/>
      <c r="N167" s="14"/>
      <c r="O167" s="14"/>
      <c r="P167" s="16"/>
      <c r="Q167" s="4"/>
      <c r="R167" s="4"/>
      <c r="S167" s="4" t="s">
        <v>44</v>
      </c>
      <c r="T167" s="4" t="s">
        <v>68</v>
      </c>
      <c r="U167" s="4"/>
      <c r="V167" s="4"/>
      <c r="W167" s="4"/>
      <c r="X167" s="4"/>
      <c r="Y167" s="4"/>
      <c r="Z167" s="4"/>
      <c r="AA167" s="4"/>
      <c r="AB167" s="4"/>
      <c r="AC167" s="4"/>
      <c r="AD167" s="4"/>
      <c r="AE167" s="4"/>
      <c r="AF167" s="4"/>
      <c r="AG167" s="4"/>
      <c r="AH167" s="4"/>
      <c r="AI167" s="4"/>
      <c r="AJ167" s="91" t="str">
        <f>IF(C149="","",C149&amp;" ("&amp;Z157&amp;")")</f>
        <v/>
      </c>
      <c r="AK167" s="4"/>
      <c r="AL167" s="91" t="str">
        <f>IF(V157=TRUE,"",IF(T157=TRUE,,W157))</f>
        <v/>
      </c>
      <c r="AM167" s="4">
        <f>IF(Y157=FALSE,"",J149)</f>
        <v>0</v>
      </c>
      <c r="AN167" s="4">
        <f>IF(Y157=FALSE,"",K149)</f>
        <v>0</v>
      </c>
      <c r="AO167" s="4"/>
      <c r="AP167" s="4"/>
      <c r="AQ167" s="4"/>
      <c r="AR167" s="4"/>
      <c r="AS167" s="4"/>
      <c r="AT167" s="4"/>
      <c r="AU167" s="4"/>
      <c r="AV167" s="4"/>
      <c r="AW167" s="4"/>
      <c r="AX167" s="4"/>
      <c r="AY167" s="4"/>
      <c r="AZ167" s="4"/>
      <c r="BA167" s="4"/>
      <c r="BB167" s="4"/>
      <c r="BC167" s="4"/>
      <c r="BD167" s="4"/>
      <c r="BE167" s="4"/>
      <c r="BF167" s="4"/>
      <c r="BG167" s="4"/>
      <c r="BH167" s="16"/>
      <c r="BI167" s="16"/>
      <c r="BJ167" s="16"/>
      <c r="BK167" s="16"/>
      <c r="BL167" s="16"/>
      <c r="BM167" s="16"/>
      <c r="BN167" s="16"/>
      <c r="BO167" s="16"/>
      <c r="BP167" s="16"/>
      <c r="BQ167" s="16"/>
      <c r="BR167" s="16"/>
      <c r="BS167" s="16"/>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row>
    <row r="168" spans="1:124">
      <c r="A168" s="14"/>
      <c r="B168" s="14"/>
      <c r="C168" s="43"/>
      <c r="D168" s="43"/>
      <c r="E168" s="42"/>
      <c r="F168" s="42"/>
      <c r="G168" s="43"/>
      <c r="H168" s="43"/>
      <c r="I168" s="43"/>
      <c r="J168" s="43"/>
      <c r="K168" s="43"/>
      <c r="L168" s="42"/>
      <c r="M168" s="14"/>
      <c r="N168" s="14"/>
      <c r="O168" s="14"/>
      <c r="P168" s="16"/>
      <c r="Q168" s="4"/>
      <c r="R168" s="4"/>
      <c r="S168" s="4"/>
      <c r="T168" s="4" t="s">
        <v>67</v>
      </c>
      <c r="U168" s="4"/>
      <c r="V168" s="4"/>
      <c r="W168" s="4"/>
      <c r="X168" s="4"/>
      <c r="Y168" s="4"/>
      <c r="Z168" s="4"/>
      <c r="AA168" s="4"/>
      <c r="AB168" s="4"/>
      <c r="AC168" s="4"/>
      <c r="AD168" s="4"/>
      <c r="AE168" s="4"/>
      <c r="AF168" s="4"/>
      <c r="AG168" s="4"/>
      <c r="AH168" s="4"/>
      <c r="AI168" s="4"/>
      <c r="AJ168" s="91" t="str">
        <f>IF(C150="","",C150&amp;" ("&amp;Z158&amp;")")</f>
        <v/>
      </c>
      <c r="AK168" s="4"/>
      <c r="AL168" s="91" t="str">
        <f>IF(V158=TRUE,"",IF(T158=TRUE,W158,W158))</f>
        <v/>
      </c>
      <c r="AM168" s="4">
        <f>IF(Y158=FALSE,"",J150)</f>
        <v>0</v>
      </c>
      <c r="AN168" s="4">
        <f>IF(Y158=FALSE,"",K150)</f>
        <v>0</v>
      </c>
      <c r="AO168" s="4"/>
      <c r="AP168" s="4"/>
      <c r="AQ168" s="4"/>
      <c r="AR168" s="4"/>
      <c r="AS168" s="4"/>
      <c r="AT168" s="4"/>
      <c r="AU168" s="4"/>
      <c r="AV168" s="4"/>
      <c r="AW168" s="4"/>
      <c r="AX168" s="4"/>
      <c r="AY168" s="4"/>
      <c r="AZ168" s="4"/>
      <c r="BA168" s="4"/>
      <c r="BB168" s="4"/>
      <c r="BC168" s="4"/>
      <c r="BD168" s="4"/>
      <c r="BE168" s="4"/>
      <c r="BF168" s="4"/>
      <c r="BG168" s="4"/>
      <c r="BH168" s="16"/>
      <c r="BI168" s="16"/>
      <c r="BJ168" s="16"/>
      <c r="BK168" s="16"/>
      <c r="BL168" s="16"/>
      <c r="BM168" s="16"/>
      <c r="BN168" s="16"/>
      <c r="BO168" s="16"/>
      <c r="BP168" s="16"/>
      <c r="BQ168" s="16"/>
      <c r="BR168" s="16"/>
      <c r="BS168" s="16"/>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row>
    <row r="169" spans="1:124">
      <c r="A169" s="14"/>
      <c r="B169" s="14"/>
      <c r="C169" s="45"/>
      <c r="D169" s="45"/>
      <c r="E169" s="41"/>
      <c r="F169" s="41"/>
      <c r="G169" s="45"/>
      <c r="H169" s="45"/>
      <c r="I169" s="45"/>
      <c r="J169" s="45"/>
      <c r="K169" s="45"/>
      <c r="L169" s="41"/>
      <c r="M169" s="14"/>
      <c r="N169" s="14"/>
      <c r="O169" s="14"/>
      <c r="P169" s="16"/>
      <c r="Q169" s="4"/>
      <c r="R169" s="4"/>
      <c r="S169" s="4"/>
      <c r="T169" s="4" t="str">
        <f>CONCATENATE(T167,T168)</f>
        <v>* Interiørmaling og lakk har blitt testet mot EN ISO 11890-2:2006 Malinger og lakk. Bestemmelse av VOC-innhold (flyktige organiske forbindelser). Gasskromatografisk metode og tilfredsstiller de maksimale grenseverdiene for VOC-innhold i fase II som fastsatt i tillegg II til direktiv 2004/42/EC om interiørmaling.  All interiørmaling og lakk er dessuten også motstandsdyktig mot sopp og alger (før påføring).</v>
      </c>
      <c r="U169" s="4"/>
      <c r="V169" s="4"/>
      <c r="W169" s="4"/>
      <c r="X169" s="4"/>
      <c r="Y169" s="4"/>
      <c r="Z169" s="4"/>
      <c r="AA169" s="4"/>
      <c r="AB169" s="4"/>
      <c r="AC169" s="4"/>
      <c r="AD169" s="4"/>
      <c r="AE169" s="4"/>
      <c r="AF169" s="4"/>
      <c r="AG169" s="4"/>
      <c r="AH169" s="4"/>
      <c r="AI169" s="4"/>
      <c r="AJ169" s="91" t="str">
        <f>IF(C153="","",C153&amp;" ("&amp;Z161&amp;")")</f>
        <v/>
      </c>
      <c r="AK169" s="4"/>
      <c r="AL169" s="91" t="str">
        <f>IF(V159=TRUE,"",IF(T159=TRUE,W159))</f>
        <v/>
      </c>
      <c r="AM169" s="4">
        <f>IF(Y161=FALSE,"",J153)</f>
        <v>0</v>
      </c>
      <c r="AN169" s="4">
        <f>IF(Y161=FALSE,"",K153)</f>
        <v>0</v>
      </c>
      <c r="AO169" s="4"/>
      <c r="AP169" s="4"/>
      <c r="AQ169" s="4"/>
      <c r="AR169" s="4"/>
      <c r="AS169" s="4"/>
      <c r="AT169" s="4"/>
      <c r="AU169" s="4"/>
      <c r="AV169" s="4"/>
      <c r="AW169" s="4"/>
      <c r="AX169" s="4"/>
      <c r="AY169" s="4"/>
      <c r="AZ169" s="4"/>
      <c r="BA169" s="4"/>
      <c r="BB169" s="4"/>
      <c r="BC169" s="4"/>
      <c r="BD169" s="4"/>
      <c r="BE169" s="4"/>
      <c r="BF169" s="4"/>
      <c r="BG169" s="4"/>
      <c r="BH169" s="16"/>
      <c r="BI169" s="16"/>
      <c r="BJ169" s="16"/>
      <c r="BK169" s="16"/>
      <c r="BL169" s="16"/>
      <c r="BM169" s="16"/>
      <c r="BN169" s="16"/>
      <c r="BO169" s="16"/>
      <c r="BP169" s="16"/>
      <c r="BQ169" s="16"/>
      <c r="BR169" s="16"/>
      <c r="BS169" s="16"/>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row>
    <row r="170" spans="1:124">
      <c r="A170" s="14"/>
      <c r="B170" s="14"/>
      <c r="C170" s="45"/>
      <c r="D170" s="45"/>
      <c r="E170" s="41"/>
      <c r="F170" s="41"/>
      <c r="G170" s="45"/>
      <c r="H170" s="45"/>
      <c r="I170" s="45"/>
      <c r="J170" s="45"/>
      <c r="K170" s="45"/>
      <c r="L170" s="41"/>
      <c r="M170" s="14"/>
      <c r="N170" s="14"/>
      <c r="O170" s="14"/>
      <c r="P170" s="16"/>
      <c r="Q170" s="4"/>
      <c r="R170" s="4"/>
      <c r="S170" s="4"/>
      <c r="T170" s="4"/>
      <c r="U170" s="4"/>
      <c r="V170" s="4"/>
      <c r="W170" s="4"/>
      <c r="X170" s="4"/>
      <c r="Y170" s="4"/>
      <c r="Z170" s="4"/>
      <c r="AA170" s="4"/>
      <c r="AB170" s="96"/>
      <c r="AC170" s="97"/>
      <c r="AD170" s="4"/>
      <c r="AE170" s="4"/>
      <c r="AF170" s="4"/>
      <c r="AG170" s="4"/>
      <c r="AH170" s="4"/>
      <c r="AI170" s="4"/>
      <c r="AJ170" s="91" t="str">
        <f>IF(C154="","",C154&amp;" ("&amp;Z162&amp;")")</f>
        <v/>
      </c>
      <c r="AK170" s="4"/>
      <c r="AL170" s="91" t="str">
        <f>IF(V160=TRUE,"",IF(T160=TRUE,W160,W160))</f>
        <v/>
      </c>
      <c r="AM170" s="4">
        <f>IF(Y162=FALSE,"",J154)</f>
        <v>0</v>
      </c>
      <c r="AN170" s="4">
        <f>IF(Y162=FALSE,"",K154)</f>
        <v>0</v>
      </c>
      <c r="AO170" s="4"/>
      <c r="AP170" s="4"/>
      <c r="AQ170" s="4"/>
      <c r="AR170" s="4"/>
      <c r="AS170" s="4"/>
      <c r="AT170" s="4"/>
      <c r="AU170" s="4"/>
      <c r="AV170" s="4"/>
      <c r="AW170" s="4"/>
      <c r="AX170" s="4"/>
      <c r="AY170" s="4"/>
      <c r="AZ170" s="4"/>
      <c r="BA170" s="4"/>
      <c r="BB170" s="4"/>
      <c r="BC170" s="4"/>
      <c r="BD170" s="4"/>
      <c r="BE170" s="4"/>
      <c r="BF170" s="4"/>
      <c r="BG170" s="4"/>
      <c r="BH170" s="16"/>
      <c r="BI170" s="16"/>
      <c r="BJ170" s="16"/>
      <c r="BK170" s="16"/>
      <c r="BL170" s="16"/>
      <c r="BM170" s="16"/>
      <c r="BN170" s="16"/>
      <c r="BO170" s="16"/>
      <c r="BP170" s="16"/>
      <c r="BQ170" s="16"/>
      <c r="BR170" s="16"/>
      <c r="BS170" s="16"/>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row>
    <row r="171" spans="1:124">
      <c r="A171" s="14"/>
      <c r="B171" s="14"/>
      <c r="C171" s="41"/>
      <c r="D171" s="41"/>
      <c r="E171" s="41"/>
      <c r="F171" s="41"/>
      <c r="G171" s="41"/>
      <c r="H171" s="41"/>
      <c r="I171" s="41"/>
      <c r="J171" s="41"/>
      <c r="K171" s="41"/>
      <c r="L171" s="41"/>
      <c r="M171" s="14"/>
      <c r="N171" s="14"/>
      <c r="O171" s="14"/>
      <c r="P171" s="14"/>
      <c r="AB171" s="96"/>
      <c r="AC171" s="97"/>
      <c r="BH171" s="59"/>
      <c r="BI171" s="59"/>
      <c r="BJ171" s="59"/>
      <c r="BK171" s="59"/>
      <c r="BL171" s="59"/>
      <c r="BM171" s="59"/>
      <c r="BN171" s="59"/>
      <c r="BO171" s="59"/>
      <c r="BP171" s="59"/>
      <c r="BQ171" s="59"/>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row>
    <row r="172" spans="1:124" ht="18">
      <c r="A172" s="14"/>
      <c r="B172" s="14"/>
      <c r="C172" s="14"/>
      <c r="D172" s="14"/>
      <c r="E172" s="14"/>
      <c r="F172" s="14"/>
      <c r="G172" s="14"/>
      <c r="H172" s="14"/>
      <c r="I172" s="14"/>
      <c r="J172" s="14"/>
      <c r="K172" s="14"/>
      <c r="L172" s="14"/>
      <c r="M172" s="14"/>
      <c r="N172" s="14"/>
      <c r="O172" s="14"/>
      <c r="P172" s="46"/>
      <c r="AB172" s="96"/>
      <c r="AC172" s="97"/>
      <c r="BH172" s="60" t="str">
        <f>C2</f>
        <v>Egendeklarasjon BREEAM-NOR</v>
      </c>
      <c r="BI172" s="61"/>
      <c r="BJ172" s="61"/>
      <c r="BK172" s="61"/>
      <c r="BL172" s="61"/>
      <c r="BM172" s="61"/>
      <c r="BN172" s="61"/>
      <c r="BO172" s="61"/>
      <c r="BP172" s="61"/>
      <c r="BQ172" s="61"/>
      <c r="BR172" s="62"/>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row>
    <row r="173" spans="1:124" ht="15" customHeight="1">
      <c r="A173" s="14"/>
      <c r="B173" s="14"/>
      <c r="C173" s="14"/>
      <c r="D173" s="14"/>
      <c r="E173" s="14"/>
      <c r="F173" s="14"/>
      <c r="G173" s="14"/>
      <c r="H173" s="14"/>
      <c r="I173" s="14"/>
      <c r="J173" s="14"/>
      <c r="K173" s="14"/>
      <c r="L173" s="14"/>
      <c r="M173" s="14"/>
      <c r="N173" s="14"/>
      <c r="O173" s="14"/>
      <c r="P173" s="46"/>
      <c r="AB173" s="96"/>
      <c r="AC173" s="97"/>
      <c r="BH173" s="158" t="str">
        <f>C4</f>
        <v/>
      </c>
      <c r="BI173" s="158"/>
      <c r="BJ173" s="158"/>
      <c r="BK173" s="158"/>
      <c r="BL173" s="158"/>
      <c r="BM173" s="158"/>
      <c r="BN173" s="158"/>
      <c r="BO173" s="158"/>
      <c r="BP173" s="158"/>
      <c r="BQ173" s="158"/>
      <c r="BR173" s="62"/>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row>
    <row r="174" spans="1:124">
      <c r="A174" s="14"/>
      <c r="B174" s="14"/>
      <c r="C174" s="14"/>
      <c r="D174" s="14"/>
      <c r="E174" s="14"/>
      <c r="F174" s="14"/>
      <c r="G174" s="14"/>
      <c r="H174" s="14"/>
      <c r="I174" s="14"/>
      <c r="J174" s="14"/>
      <c r="K174" s="14"/>
      <c r="L174" s="40" t="s">
        <v>50</v>
      </c>
      <c r="M174" s="14"/>
      <c r="N174" s="14"/>
      <c r="O174" s="14"/>
      <c r="P174" s="46"/>
      <c r="AB174" s="96"/>
      <c r="AC174" s="97"/>
      <c r="BH174" s="159"/>
      <c r="BI174" s="159"/>
      <c r="BJ174" s="159"/>
      <c r="BK174" s="159"/>
      <c r="BL174" s="159"/>
      <c r="BM174" s="159"/>
      <c r="BN174" s="159"/>
      <c r="BO174" s="159"/>
      <c r="BP174" s="159"/>
      <c r="BQ174" s="159"/>
      <c r="BR174" s="62"/>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row>
    <row r="175" spans="1:124">
      <c r="A175" s="14"/>
      <c r="B175" s="14"/>
      <c r="C175" s="14"/>
      <c r="D175" s="14"/>
      <c r="E175" s="14"/>
      <c r="F175" s="14"/>
      <c r="G175" s="14"/>
      <c r="H175" s="14"/>
      <c r="I175" s="14"/>
      <c r="J175" s="14"/>
      <c r="K175" s="14"/>
      <c r="L175" s="14"/>
      <c r="M175" s="14"/>
      <c r="N175" s="14"/>
      <c r="O175" s="14"/>
      <c r="P175" s="46"/>
      <c r="AB175" s="96"/>
      <c r="AC175" s="97"/>
      <c r="BH175" s="63"/>
      <c r="BI175" s="63"/>
      <c r="BJ175" s="63"/>
      <c r="BK175" s="63"/>
      <c r="BL175" s="63"/>
      <c r="BM175" s="63"/>
      <c r="BN175" s="63"/>
      <c r="BO175" s="63"/>
      <c r="BP175" s="63"/>
      <c r="BQ175" s="63"/>
      <c r="BR175" s="62"/>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row>
    <row r="176" spans="1:124" ht="15" customHeight="1">
      <c r="A176" s="14"/>
      <c r="B176" s="14"/>
      <c r="C176" s="14"/>
      <c r="D176" s="14"/>
      <c r="E176" s="14"/>
      <c r="F176" s="14"/>
      <c r="G176" s="14"/>
      <c r="H176" s="14"/>
      <c r="I176" s="14"/>
      <c r="J176" s="14"/>
      <c r="K176" s="14"/>
      <c r="L176" s="14"/>
      <c r="M176" s="14"/>
      <c r="N176" s="14"/>
      <c r="O176" s="14"/>
      <c r="P176" s="46"/>
      <c r="AB176" s="96"/>
      <c r="AC176" s="97"/>
      <c r="BH176" s="63"/>
      <c r="BI176" s="63"/>
      <c r="BJ176" s="63"/>
      <c r="BK176" s="63"/>
      <c r="BL176" s="63"/>
      <c r="BM176" s="170"/>
      <c r="BN176" s="170"/>
      <c r="BO176" s="170"/>
      <c r="BP176" s="170"/>
      <c r="BQ176" s="63"/>
      <c r="BR176" s="62"/>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row>
    <row r="177" spans="1:124">
      <c r="A177" s="14"/>
      <c r="B177" s="14"/>
      <c r="C177" s="14"/>
      <c r="D177" s="14"/>
      <c r="E177" s="14"/>
      <c r="F177" s="14"/>
      <c r="G177" s="14"/>
      <c r="H177" s="14"/>
      <c r="I177" s="14"/>
      <c r="J177" s="14"/>
      <c r="K177" s="14"/>
      <c r="L177" s="14"/>
      <c r="M177" s="14"/>
      <c r="N177" s="14"/>
      <c r="O177" s="14"/>
      <c r="P177" s="46"/>
      <c r="AB177" s="96"/>
      <c r="AC177" s="97"/>
      <c r="BH177" s="64" t="s">
        <v>13</v>
      </c>
      <c r="BI177" s="65"/>
      <c r="BJ177" s="65"/>
      <c r="BK177" s="65"/>
      <c r="BL177" s="65"/>
      <c r="BM177" s="170"/>
      <c r="BN177" s="170"/>
      <c r="BO177" s="170"/>
      <c r="BP177" s="170"/>
      <c r="BQ177" s="65"/>
      <c r="BR177" s="62"/>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row>
    <row r="178" spans="1:124" ht="20.25" customHeight="1">
      <c r="A178" s="14"/>
      <c r="B178" s="14"/>
      <c r="C178" s="14"/>
      <c r="D178" s="14"/>
      <c r="E178" s="14"/>
      <c r="F178" s="14"/>
      <c r="G178" s="14"/>
      <c r="H178" s="14"/>
      <c r="I178" s="14"/>
      <c r="J178" s="14"/>
      <c r="K178" s="14"/>
      <c r="L178" s="47"/>
      <c r="M178" s="48"/>
      <c r="N178" s="49"/>
      <c r="O178" s="49"/>
      <c r="P178" s="46"/>
      <c r="AB178" s="96"/>
      <c r="AC178" s="97"/>
      <c r="BH178" s="160" t="str">
        <f>IF(O58=1,"",VLOOKUP(O58,O59:P69,2,FALSE))</f>
        <v/>
      </c>
      <c r="BI178" s="160"/>
      <c r="BJ178" s="160"/>
      <c r="BK178" s="160"/>
      <c r="BL178" s="160"/>
      <c r="BM178" s="160"/>
      <c r="BN178" s="160"/>
      <c r="BO178" s="160"/>
      <c r="BP178" s="160"/>
      <c r="BQ178" s="160"/>
      <c r="BR178" s="62"/>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row>
    <row r="179" spans="1:124" ht="12" customHeight="1">
      <c r="A179" s="14"/>
      <c r="B179" s="14"/>
      <c r="C179" s="14"/>
      <c r="D179" s="14"/>
      <c r="E179" s="14"/>
      <c r="F179" s="14"/>
      <c r="G179" s="14"/>
      <c r="H179" s="14"/>
      <c r="I179" s="14"/>
      <c r="J179" s="14"/>
      <c r="K179" s="14"/>
      <c r="L179" s="50" t="s">
        <v>97</v>
      </c>
      <c r="M179" s="51"/>
      <c r="N179" s="52"/>
      <c r="O179" s="52"/>
      <c r="P179" s="46"/>
      <c r="AB179" s="96"/>
      <c r="AC179" s="97"/>
      <c r="BH179" s="66"/>
      <c r="BI179" s="66"/>
      <c r="BJ179" s="66"/>
      <c r="BK179" s="66"/>
      <c r="BL179" s="66"/>
      <c r="BM179" s="66"/>
      <c r="BN179" s="66"/>
      <c r="BO179" s="65"/>
      <c r="BP179" s="65"/>
      <c r="BQ179" s="65"/>
      <c r="BR179" s="62"/>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row>
    <row r="180" spans="1:124">
      <c r="A180" s="14"/>
      <c r="B180" s="14"/>
      <c r="C180" s="14"/>
      <c r="D180" s="14"/>
      <c r="E180" s="14"/>
      <c r="F180" s="14"/>
      <c r="G180" s="14"/>
      <c r="H180" s="14"/>
      <c r="I180" s="14"/>
      <c r="J180" s="14"/>
      <c r="K180" s="14"/>
      <c r="L180" s="50" t="s">
        <v>98</v>
      </c>
      <c r="M180" s="51"/>
      <c r="N180" s="52"/>
      <c r="O180" s="52"/>
      <c r="P180" s="46"/>
      <c r="AB180" s="96"/>
      <c r="AC180" s="97"/>
      <c r="BH180" s="64" t="s">
        <v>28</v>
      </c>
      <c r="BI180" s="67"/>
      <c r="BJ180" s="67"/>
      <c r="BK180" s="67"/>
      <c r="BL180" s="67"/>
      <c r="BM180" s="67"/>
      <c r="BN180" s="67"/>
      <c r="BO180" s="67"/>
      <c r="BP180" s="65"/>
      <c r="BQ180" s="68"/>
      <c r="BR180" s="62"/>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row>
    <row r="181" spans="1:124" ht="15.6">
      <c r="A181" s="14"/>
      <c r="B181" s="14"/>
      <c r="C181" s="14"/>
      <c r="D181" s="14"/>
      <c r="E181" s="14"/>
      <c r="F181" s="14"/>
      <c r="G181" s="14"/>
      <c r="H181" s="14"/>
      <c r="I181" s="14"/>
      <c r="J181" s="14"/>
      <c r="K181" s="14"/>
      <c r="L181" s="50" t="s">
        <v>99</v>
      </c>
      <c r="M181" s="51"/>
      <c r="N181" s="52"/>
      <c r="O181" s="52"/>
      <c r="P181" s="46"/>
      <c r="AB181" s="96"/>
      <c r="AC181" s="97"/>
      <c r="BH181" s="166" t="str">
        <f>IF(C8="","Navn på produsent mangler!",C8)</f>
        <v>Navn på produsent mangler!</v>
      </c>
      <c r="BI181" s="166"/>
      <c r="BJ181" s="166"/>
      <c r="BK181" s="166"/>
      <c r="BL181" s="166"/>
      <c r="BM181" s="166"/>
      <c r="BN181" s="166"/>
      <c r="BO181" s="166"/>
      <c r="BP181" s="65"/>
      <c r="BQ181" s="65"/>
      <c r="BR181" s="110"/>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row>
    <row r="182" spans="1:124">
      <c r="A182" s="14"/>
      <c r="B182" s="14"/>
      <c r="C182" s="14"/>
      <c r="D182" s="14"/>
      <c r="E182" s="14"/>
      <c r="F182" s="14"/>
      <c r="G182" s="14"/>
      <c r="H182" s="14"/>
      <c r="I182" s="14"/>
      <c r="J182" s="14"/>
      <c r="K182" s="14"/>
      <c r="L182" s="50" t="s">
        <v>100</v>
      </c>
      <c r="M182" s="51"/>
      <c r="N182" s="52"/>
      <c r="O182" s="52"/>
      <c r="P182" s="46"/>
      <c r="AA182" s="3">
        <f>LEN(AB182)</f>
        <v>157</v>
      </c>
      <c r="AB182" s="3" t="s">
        <v>57</v>
      </c>
      <c r="BH182" s="65"/>
      <c r="BI182" s="69"/>
      <c r="BJ182" s="69"/>
      <c r="BK182" s="69"/>
      <c r="BL182" s="69"/>
      <c r="BM182" s="65"/>
      <c r="BN182" s="65"/>
      <c r="BO182" s="65"/>
      <c r="BP182" s="65"/>
      <c r="BQ182" s="65"/>
      <c r="BR182" s="110"/>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row>
    <row r="183" spans="1:124" ht="15" customHeight="1">
      <c r="A183" s="14"/>
      <c r="B183" s="14"/>
      <c r="C183" s="14"/>
      <c r="D183" s="14"/>
      <c r="E183" s="14"/>
      <c r="F183" s="14"/>
      <c r="G183" s="14"/>
      <c r="H183" s="14"/>
      <c r="I183" s="14"/>
      <c r="J183" s="14"/>
      <c r="K183" s="14"/>
      <c r="L183" s="53"/>
      <c r="M183" s="54"/>
      <c r="N183" s="55"/>
      <c r="O183" s="55"/>
      <c r="P183" s="46"/>
      <c r="AA183" s="3">
        <f>LEN(AB183)</f>
        <v>80</v>
      </c>
      <c r="AB183" s="3" t="s">
        <v>58</v>
      </c>
      <c r="BH183" s="169" t="str">
        <f>T43</f>
        <v>.</v>
      </c>
      <c r="BI183" s="169"/>
      <c r="BJ183" s="169"/>
      <c r="BK183" s="169"/>
      <c r="BL183" s="169"/>
      <c r="BM183" s="169"/>
      <c r="BN183" s="169"/>
      <c r="BO183" s="169"/>
      <c r="BP183" s="169"/>
      <c r="BQ183" s="169"/>
      <c r="BR183" s="110"/>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row>
    <row r="184" spans="1:124" ht="15" customHeight="1">
      <c r="A184" s="14"/>
      <c r="B184" s="14"/>
      <c r="C184" s="14"/>
      <c r="D184" s="14"/>
      <c r="E184" s="14"/>
      <c r="F184" s="14"/>
      <c r="G184" s="14"/>
      <c r="H184" s="14"/>
      <c r="I184" s="14"/>
      <c r="J184" s="14"/>
      <c r="K184" s="14"/>
      <c r="L184" s="14"/>
      <c r="M184" s="14"/>
      <c r="N184" s="14"/>
      <c r="O184" s="14"/>
      <c r="P184" s="46"/>
      <c r="AA184" s="3">
        <f>LEN(AB184)</f>
        <v>163</v>
      </c>
      <c r="AB184" s="3" t="s">
        <v>56</v>
      </c>
      <c r="BH184" s="169"/>
      <c r="BI184" s="169"/>
      <c r="BJ184" s="169"/>
      <c r="BK184" s="169"/>
      <c r="BL184" s="169"/>
      <c r="BM184" s="169"/>
      <c r="BN184" s="169"/>
      <c r="BO184" s="169"/>
      <c r="BP184" s="169"/>
      <c r="BQ184" s="169"/>
      <c r="BR184" s="110"/>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row>
    <row r="185" spans="1:124" ht="15" customHeight="1">
      <c r="A185" s="14"/>
      <c r="B185" s="14"/>
      <c r="C185" s="14"/>
      <c r="D185" s="14"/>
      <c r="E185" s="14"/>
      <c r="F185" s="14"/>
      <c r="G185" s="14"/>
      <c r="H185" s="14"/>
      <c r="I185" s="14"/>
      <c r="J185" s="14"/>
      <c r="K185" s="14"/>
      <c r="L185" s="14"/>
      <c r="M185" s="14"/>
      <c r="N185" s="14"/>
      <c r="O185" s="14"/>
      <c r="P185" s="46"/>
      <c r="AB185" s="3" t="str">
        <f>CONCATENATE(AB182," ",AB183," ",AB184)</f>
        <v>EUs malingsdirektiv (2004/42/EC) og forskrift om begrensning i bruk av helse- og miljøfarlige kjemikalier og andre produkter (produktforskriften) vedlegg VII til § 2-24 til § 2-26 om organiske forbindelser i maling- og lakkeringsprodukter bruker inndelingen over på maling og lakk. Vi ber om at samme inndeling av type (a, b, c,..., l) benyttes i kolonne 2 i tabellen der produktinformasjon deklareres.</v>
      </c>
      <c r="BH185" s="64" t="s">
        <v>29</v>
      </c>
      <c r="BI185" s="70"/>
      <c r="BJ185" s="70"/>
      <c r="BK185" s="70"/>
      <c r="BL185" s="70"/>
      <c r="BM185" s="70"/>
      <c r="BN185" s="70"/>
      <c r="BO185" s="70"/>
      <c r="BP185" s="65"/>
      <c r="BQ185" s="65"/>
      <c r="BR185" s="110"/>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row>
    <row r="186" spans="1:124" ht="15" customHeight="1">
      <c r="A186" s="14"/>
      <c r="B186" s="14"/>
      <c r="C186" s="14"/>
      <c r="D186" s="14"/>
      <c r="E186" s="14"/>
      <c r="F186" s="14"/>
      <c r="G186" s="14"/>
      <c r="H186" s="14"/>
      <c r="I186" s="14"/>
      <c r="J186" s="14"/>
      <c r="K186" s="14"/>
      <c r="L186" s="14"/>
      <c r="M186" s="14"/>
      <c r="N186" s="14"/>
      <c r="O186" s="14"/>
      <c r="P186" s="46"/>
      <c r="BH186" s="161" t="str">
        <f>IF(C71="","Oppgi handelsnavn!",C71)</f>
        <v>Oppgi handelsnavn!</v>
      </c>
      <c r="BI186" s="161"/>
      <c r="BJ186" s="161"/>
      <c r="BK186" s="161"/>
      <c r="BL186" s="161"/>
      <c r="BM186" s="161"/>
      <c r="BN186" s="161"/>
      <c r="BO186" s="161"/>
      <c r="BP186" s="71"/>
      <c r="BQ186" s="71"/>
      <c r="BR186" s="110"/>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row>
    <row r="187" spans="1:124" ht="15" customHeight="1">
      <c r="A187" s="14"/>
      <c r="B187" s="14"/>
      <c r="C187" s="14"/>
      <c r="D187" s="14"/>
      <c r="E187" s="14"/>
      <c r="F187" s="14"/>
      <c r="G187" s="14"/>
      <c r="H187" s="14"/>
      <c r="I187" s="14"/>
      <c r="J187" s="14"/>
      <c r="K187" s="14"/>
      <c r="L187" s="14"/>
      <c r="M187" s="14"/>
      <c r="N187" s="14"/>
      <c r="O187" s="14"/>
      <c r="P187" s="46"/>
      <c r="BH187" s="161"/>
      <c r="BI187" s="161"/>
      <c r="BJ187" s="161"/>
      <c r="BK187" s="161"/>
      <c r="BL187" s="161"/>
      <c r="BM187" s="161"/>
      <c r="BN187" s="161"/>
      <c r="BO187" s="161"/>
      <c r="BP187" s="72"/>
      <c r="BQ187" s="72"/>
      <c r="BR187" s="62"/>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row>
    <row r="188" spans="1:124">
      <c r="A188" s="14"/>
      <c r="B188" s="14"/>
      <c r="C188" s="14"/>
      <c r="D188" s="14"/>
      <c r="E188" s="14"/>
      <c r="F188" s="14"/>
      <c r="G188" s="14"/>
      <c r="H188" s="14"/>
      <c r="I188" s="14"/>
      <c r="J188" s="14"/>
      <c r="K188" s="14"/>
      <c r="L188" s="14"/>
      <c r="M188" s="14"/>
      <c r="N188" s="14"/>
      <c r="O188" s="14"/>
      <c r="P188" s="46"/>
      <c r="AK188" s="3" t="s">
        <v>12</v>
      </c>
      <c r="AL188" s="3" t="s">
        <v>48</v>
      </c>
      <c r="BH188" s="167" t="str">
        <f>C79</f>
        <v/>
      </c>
      <c r="BI188" s="167"/>
      <c r="BJ188" s="167"/>
      <c r="BK188" s="167"/>
      <c r="BL188" s="168" t="str">
        <f>CONCATENATE(I79,"                ",J79)</f>
        <v xml:space="preserve">                </v>
      </c>
      <c r="BM188" s="168"/>
      <c r="BN188" s="168"/>
      <c r="BO188" s="73" t="s">
        <v>47</v>
      </c>
      <c r="BP188" s="74"/>
      <c r="BQ188" s="74"/>
      <c r="BR188" s="62"/>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row>
    <row r="189" spans="1:124" ht="15" customHeight="1">
      <c r="A189" s="14"/>
      <c r="B189" s="14"/>
      <c r="C189" s="14"/>
      <c r="D189" s="14"/>
      <c r="E189" s="14"/>
      <c r="F189" s="14"/>
      <c r="G189" s="14"/>
      <c r="H189" s="14"/>
      <c r="I189" s="14"/>
      <c r="J189" s="14"/>
      <c r="K189" s="14"/>
      <c r="L189" s="14"/>
      <c r="M189" s="14"/>
      <c r="N189" s="14"/>
      <c r="O189" s="14"/>
      <c r="P189" s="46"/>
      <c r="AI189" s="3" t="b">
        <f>IF(T57=TRUE,TRUE,FALSE)</f>
        <v>0</v>
      </c>
      <c r="AJ189" s="3" t="b">
        <f>IF(BH189="",FALSE,TRUE)</f>
        <v>0</v>
      </c>
      <c r="AK189" s="3" t="b">
        <f t="shared" ref="AK189:AK198" si="12">AND($AI$191,AJ189)</f>
        <v>0</v>
      </c>
      <c r="AL189" s="3" t="b">
        <f>AND($AI$190,AJ189)</f>
        <v>0</v>
      </c>
      <c r="BH189" s="135" t="str">
        <f>C80</f>
        <v/>
      </c>
      <c r="BI189" s="134" t="str">
        <f>$V$81</f>
        <v/>
      </c>
      <c r="BJ189" s="134"/>
      <c r="BK189" s="134"/>
      <c r="BL189" s="164" t="str">
        <f>$W$81</f>
        <v/>
      </c>
      <c r="BM189" s="164"/>
      <c r="BN189" s="162" t="str">
        <f>T82</f>
        <v/>
      </c>
      <c r="BO189" s="134" t="str">
        <f>IF(BH189="","",IF(L80="","",L80))</f>
        <v/>
      </c>
      <c r="BP189" s="134"/>
      <c r="BQ189" s="134"/>
      <c r="BR189" s="62"/>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row>
    <row r="190" spans="1:124" ht="17.25" customHeight="1">
      <c r="A190" s="14"/>
      <c r="B190" s="14"/>
      <c r="C190" s="14"/>
      <c r="D190" s="14"/>
      <c r="E190" s="14"/>
      <c r="F190" s="14"/>
      <c r="G190" s="14"/>
      <c r="H190" s="14"/>
      <c r="I190" s="14"/>
      <c r="J190" s="14"/>
      <c r="K190" s="14"/>
      <c r="L190" s="14"/>
      <c r="M190" s="14"/>
      <c r="N190" s="14"/>
      <c r="O190" s="14"/>
      <c r="P190" s="46"/>
      <c r="AI190" s="3" t="b">
        <f>IF(O46=2,TRUE,FALSE)</f>
        <v>0</v>
      </c>
      <c r="AJ190" s="3" t="b">
        <f>IF(BH191="",FALSE,TRUE)</f>
        <v>0</v>
      </c>
      <c r="AK190" s="3" t="b">
        <f t="shared" si="12"/>
        <v>0</v>
      </c>
      <c r="AL190" s="3" t="b">
        <f>AND($AI$190,AJ190)</f>
        <v>0</v>
      </c>
      <c r="BH190" s="135"/>
      <c r="BI190" s="134"/>
      <c r="BJ190" s="134"/>
      <c r="BK190" s="134"/>
      <c r="BL190" s="165"/>
      <c r="BM190" s="165"/>
      <c r="BN190" s="163"/>
      <c r="BO190" s="134"/>
      <c r="BP190" s="134"/>
      <c r="BQ190" s="134"/>
      <c r="BR190" s="62"/>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row>
    <row r="191" spans="1:124" ht="20.25" customHeight="1">
      <c r="A191" s="14"/>
      <c r="B191" s="14"/>
      <c r="C191" s="14"/>
      <c r="D191" s="14"/>
      <c r="E191" s="14"/>
      <c r="F191" s="14"/>
      <c r="G191" s="14"/>
      <c r="H191" s="14"/>
      <c r="I191" s="14"/>
      <c r="J191" s="14"/>
      <c r="K191" s="14"/>
      <c r="L191" s="14"/>
      <c r="M191" s="14"/>
      <c r="N191" s="14"/>
      <c r="O191" s="14"/>
      <c r="P191" s="46"/>
      <c r="AI191" s="3" t="b">
        <f>IF(O46=3,TRUE,FALSE)</f>
        <v>0</v>
      </c>
      <c r="AJ191" s="3" t="b">
        <f>IF(BH194="",FALSE,TRUE)</f>
        <v>0</v>
      </c>
      <c r="AK191" s="3" t="b">
        <f t="shared" si="12"/>
        <v>0</v>
      </c>
      <c r="AL191" s="3" t="b">
        <f>AND($AI$190,AJ191)</f>
        <v>0</v>
      </c>
      <c r="BH191" s="156" t="str">
        <f>C84</f>
        <v/>
      </c>
      <c r="BI191" s="134" t="str">
        <f>$Y$81</f>
        <v/>
      </c>
      <c r="BJ191" s="134"/>
      <c r="BK191" s="134"/>
      <c r="BL191" s="136" t="str">
        <f>Z81</f>
        <v/>
      </c>
      <c r="BM191" s="136"/>
      <c r="BN191" s="156" t="str">
        <f>T86</f>
        <v/>
      </c>
      <c r="BO191" s="157" t="str">
        <f>IF(BH191="","",IF(L84="","",L84))</f>
        <v/>
      </c>
      <c r="BP191" s="157"/>
      <c r="BQ191" s="157"/>
      <c r="BR191" s="62"/>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row>
    <row r="192" spans="1:124">
      <c r="A192" s="14"/>
      <c r="B192" s="14"/>
      <c r="C192" s="14"/>
      <c r="D192" s="14"/>
      <c r="E192" s="14"/>
      <c r="F192" s="14"/>
      <c r="G192" s="14"/>
      <c r="H192" s="14"/>
      <c r="I192" s="14"/>
      <c r="J192" s="14"/>
      <c r="K192" s="14"/>
      <c r="L192" s="14"/>
      <c r="M192" s="14"/>
      <c r="N192" s="14"/>
      <c r="O192" s="14"/>
      <c r="P192" s="46"/>
      <c r="AJ192" s="3" t="b">
        <f>IF(BH196="",FALSE,TRUE)</f>
        <v>0</v>
      </c>
      <c r="AK192" s="3" t="b">
        <f t="shared" si="12"/>
        <v>0</v>
      </c>
      <c r="AL192" s="3" t="b">
        <f>AND($AI$190,AJ192)</f>
        <v>0</v>
      </c>
      <c r="BH192" s="156"/>
      <c r="BI192" s="134"/>
      <c r="BJ192" s="134"/>
      <c r="BK192" s="134"/>
      <c r="BL192" s="136"/>
      <c r="BM192" s="136"/>
      <c r="BN192" s="156"/>
      <c r="BO192" s="157"/>
      <c r="BP192" s="157"/>
      <c r="BQ192" s="157"/>
      <c r="BR192" s="62"/>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row>
    <row r="193" spans="1:124" ht="22.5" customHeight="1">
      <c r="A193" s="14"/>
      <c r="B193" s="14"/>
      <c r="C193" s="14"/>
      <c r="D193" s="14"/>
      <c r="E193" s="14"/>
      <c r="F193" s="14"/>
      <c r="G193" s="14"/>
      <c r="H193" s="14"/>
      <c r="I193" s="14"/>
      <c r="J193" s="14"/>
      <c r="K193" s="14"/>
      <c r="L193" s="14"/>
      <c r="M193" s="14"/>
      <c r="N193" s="14"/>
      <c r="O193" s="14"/>
      <c r="P193" s="46"/>
      <c r="AJ193" s="3" t="b">
        <f>IF(BH200="",FALSE,TRUE)</f>
        <v>0</v>
      </c>
      <c r="AK193" s="3" t="b">
        <f t="shared" si="12"/>
        <v>0</v>
      </c>
      <c r="AL193" s="3" t="b">
        <f t="shared" ref="AL193:AL198" si="13">AND($AI$190,AJ193)</f>
        <v>0</v>
      </c>
      <c r="BH193" s="156"/>
      <c r="BI193" s="134"/>
      <c r="BJ193" s="134"/>
      <c r="BK193" s="134"/>
      <c r="BL193" s="136"/>
      <c r="BM193" s="136"/>
      <c r="BN193" s="156"/>
      <c r="BO193" s="157"/>
      <c r="BP193" s="157"/>
      <c r="BQ193" s="157"/>
      <c r="BR193" s="62"/>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row>
    <row r="194" spans="1:124">
      <c r="A194" s="14"/>
      <c r="B194" s="14"/>
      <c r="C194" s="14"/>
      <c r="D194" s="14"/>
      <c r="E194" s="14"/>
      <c r="F194" s="14"/>
      <c r="G194" s="14"/>
      <c r="H194" s="14"/>
      <c r="I194" s="14"/>
      <c r="J194" s="14"/>
      <c r="K194" s="14"/>
      <c r="L194" s="14"/>
      <c r="M194" s="14"/>
      <c r="N194" s="14"/>
      <c r="O194" s="14"/>
      <c r="P194" s="46"/>
      <c r="AJ194" s="3" t="b">
        <f>IF(BH202="",FALSE,TRUE)</f>
        <v>0</v>
      </c>
      <c r="AK194" s="3" t="b">
        <f t="shared" si="12"/>
        <v>0</v>
      </c>
      <c r="AL194" s="3" t="b">
        <f t="shared" si="13"/>
        <v>0</v>
      </c>
      <c r="BH194" s="135" t="str">
        <f>IF($T$57=TRUE,"Type:",C90)</f>
        <v/>
      </c>
      <c r="BI194" s="134" t="str">
        <f>IF(T57=TRUE,"Handelsnavn (Vannbasert/Løsemiddelbasert):",$AC$81)</f>
        <v/>
      </c>
      <c r="BJ194" s="134"/>
      <c r="BK194" s="134"/>
      <c r="BL194" s="136" t="str">
        <f>IF(T57=TRUE,"VOC-emisjoner 
etter 3 døgn:",AD81)</f>
        <v/>
      </c>
      <c r="BM194" s="136"/>
      <c r="BN194" s="135" t="str">
        <f>IF(T57=TRUE,"VOC-innhold:",T92)</f>
        <v/>
      </c>
      <c r="BO194" s="134" t="str">
        <f>IF(T57=TRUE,"Svanemerket 
eller EU-blomst:",IF(BH194="","",IF(L90="","",L90)))</f>
        <v/>
      </c>
      <c r="BP194" s="134"/>
      <c r="BQ194" s="134"/>
      <c r="BR194" s="62"/>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row>
    <row r="195" spans="1:124">
      <c r="A195" s="14"/>
      <c r="B195" s="14"/>
      <c r="C195" s="14"/>
      <c r="D195" s="14"/>
      <c r="E195" s="14"/>
      <c r="F195" s="14"/>
      <c r="G195" s="14"/>
      <c r="H195" s="14"/>
      <c r="I195" s="14"/>
      <c r="J195" s="14"/>
      <c r="K195" s="14"/>
      <c r="L195" s="14"/>
      <c r="M195" s="14"/>
      <c r="N195" s="14"/>
      <c r="O195" s="14"/>
      <c r="P195" s="46"/>
      <c r="AJ195" s="3" t="b">
        <f>IF(BH204="",FALSE,TRUE)</f>
        <v>0</v>
      </c>
      <c r="AK195" s="3" t="b">
        <f t="shared" si="12"/>
        <v>0</v>
      </c>
      <c r="AL195" s="3" t="b">
        <f t="shared" si="13"/>
        <v>0</v>
      </c>
      <c r="BH195" s="135"/>
      <c r="BI195" s="134"/>
      <c r="BJ195" s="134"/>
      <c r="BK195" s="134"/>
      <c r="BL195" s="136"/>
      <c r="BM195" s="136"/>
      <c r="BN195" s="135"/>
      <c r="BO195" s="134"/>
      <c r="BP195" s="134"/>
      <c r="BQ195" s="134"/>
      <c r="BR195" s="62"/>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row>
    <row r="196" spans="1:124" ht="15" customHeight="1">
      <c r="A196" s="14"/>
      <c r="B196" s="14"/>
      <c r="C196" s="14"/>
      <c r="D196" s="14"/>
      <c r="E196" s="14"/>
      <c r="F196" s="14"/>
      <c r="G196" s="14"/>
      <c r="H196" s="14"/>
      <c r="I196" s="14"/>
      <c r="J196" s="14"/>
      <c r="K196" s="14"/>
      <c r="L196" s="14"/>
      <c r="M196" s="14"/>
      <c r="N196" s="14"/>
      <c r="O196" s="14"/>
      <c r="P196" s="46"/>
      <c r="AJ196" s="3" t="b">
        <f>IF(BH207="",FALSE,TRUE)</f>
        <v>0</v>
      </c>
      <c r="AK196" s="3" t="b">
        <f t="shared" si="12"/>
        <v>0</v>
      </c>
      <c r="AL196" s="3" t="b">
        <f t="shared" si="13"/>
        <v>0</v>
      </c>
      <c r="BH196" s="135" t="str">
        <f>IF(AT198=TRUE,AI162,C94)</f>
        <v/>
      </c>
      <c r="BI196" s="134" t="str">
        <f>IF(AX198=TRUE,AJ162,AF81)</f>
        <v/>
      </c>
      <c r="BJ196" s="134"/>
      <c r="BK196" s="134"/>
      <c r="BL196" s="136" t="str">
        <f>IF($T$57=TRUE,AK162,AG81)</f>
        <v/>
      </c>
      <c r="BM196" s="136"/>
      <c r="BN196" s="135" t="str">
        <f>IF(BB198=TRUE,AL162,T98)</f>
        <v/>
      </c>
      <c r="BO196" s="136" t="str">
        <f>IF(BF198=TRUE,AM162,IF(BH196="","",IF(L94="","",L94)))</f>
        <v/>
      </c>
      <c r="BP196" s="136"/>
      <c r="BQ196" s="136"/>
      <c r="BR196" s="62"/>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row>
    <row r="197" spans="1:124">
      <c r="A197" s="14"/>
      <c r="B197" s="14"/>
      <c r="C197" s="14"/>
      <c r="D197" s="14"/>
      <c r="E197" s="14"/>
      <c r="F197" s="14"/>
      <c r="G197" s="14"/>
      <c r="H197" s="14"/>
      <c r="I197" s="14"/>
      <c r="J197" s="14"/>
      <c r="K197" s="14"/>
      <c r="L197" s="14"/>
      <c r="M197" s="14"/>
      <c r="N197" s="14"/>
      <c r="O197" s="14"/>
      <c r="P197" s="46"/>
      <c r="AJ197" s="3" t="b">
        <f>IF(BH209="",FALSE,TRUE)</f>
        <v>0</v>
      </c>
      <c r="AK197" s="3" t="b">
        <f t="shared" si="12"/>
        <v>0</v>
      </c>
      <c r="AL197" s="3" t="b">
        <f t="shared" si="13"/>
        <v>0</v>
      </c>
      <c r="AM197" s="11"/>
      <c r="AN197" s="11"/>
      <c r="BH197" s="135"/>
      <c r="BI197" s="134"/>
      <c r="BJ197" s="134"/>
      <c r="BK197" s="134"/>
      <c r="BL197" s="136"/>
      <c r="BM197" s="136"/>
      <c r="BN197" s="135"/>
      <c r="BO197" s="136"/>
      <c r="BP197" s="136"/>
      <c r="BQ197" s="136"/>
      <c r="BR197" s="62"/>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row>
    <row r="198" spans="1:124">
      <c r="A198" s="14"/>
      <c r="B198" s="14"/>
      <c r="C198" s="14"/>
      <c r="D198" s="14"/>
      <c r="E198" s="14"/>
      <c r="F198" s="14"/>
      <c r="G198" s="14"/>
      <c r="H198" s="14"/>
      <c r="I198" s="14"/>
      <c r="J198" s="14"/>
      <c r="K198" s="14"/>
      <c r="L198" s="14"/>
      <c r="M198" s="14"/>
      <c r="N198" s="14"/>
      <c r="O198" s="14"/>
      <c r="P198" s="46"/>
      <c r="AJ198" s="3" t="b">
        <f>IF(BH211="",FALSE,TRUE)</f>
        <v>0</v>
      </c>
      <c r="AK198" s="3" t="b">
        <f t="shared" si="12"/>
        <v>0</v>
      </c>
      <c r="AL198" s="3" t="b">
        <f t="shared" si="13"/>
        <v>0</v>
      </c>
      <c r="AM198" s="11"/>
      <c r="AN198" s="11"/>
      <c r="AR198" s="3" t="b">
        <f>IF(E148="",FALSE,TRUE)</f>
        <v>0</v>
      </c>
      <c r="AS198" s="3" t="b">
        <f>IF($T$57=TRUE,TRUE)</f>
        <v>0</v>
      </c>
      <c r="AT198" s="12" t="b">
        <f>AND(AR198:AS198)</f>
        <v>0</v>
      </c>
      <c r="AV198" s="3" t="b">
        <f>IF(C148="",FALSE,TRUE)</f>
        <v>0</v>
      </c>
      <c r="AW198" s="3" t="b">
        <f>IF($T$57=TRUE,TRUE)</f>
        <v>0</v>
      </c>
      <c r="AX198" s="12" t="b">
        <f>AND(AV198:AW198)</f>
        <v>0</v>
      </c>
      <c r="AZ198" s="3" t="b">
        <f>IF(AL162="",FALSE,TRUE)</f>
        <v>1</v>
      </c>
      <c r="BA198" s="3" t="b">
        <f>IF($T$57=TRUE,TRUE)</f>
        <v>0</v>
      </c>
      <c r="BB198" s="12" t="b">
        <f>AND(AZ198:BA198)</f>
        <v>0</v>
      </c>
      <c r="BD198" s="3" t="b">
        <f>IF(L148="",FALSE,TRUE)</f>
        <v>0</v>
      </c>
      <c r="BE198" s="3" t="b">
        <f>IF($T$57=TRUE,TRUE)</f>
        <v>0</v>
      </c>
      <c r="BF198" s="12" t="b">
        <f>AND(BD198:BE198)</f>
        <v>0</v>
      </c>
      <c r="BH198" s="135"/>
      <c r="BI198" s="134"/>
      <c r="BJ198" s="134"/>
      <c r="BK198" s="134"/>
      <c r="BL198" s="136"/>
      <c r="BM198" s="136"/>
      <c r="BN198" s="135"/>
      <c r="BO198" s="136"/>
      <c r="BP198" s="136"/>
      <c r="BQ198" s="136"/>
      <c r="BR198" s="62"/>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row>
    <row r="199" spans="1:124" ht="22.5" customHeight="1">
      <c r="A199" s="14"/>
      <c r="B199" s="14"/>
      <c r="C199" s="14"/>
      <c r="D199" s="14"/>
      <c r="E199" s="14"/>
      <c r="F199" s="14"/>
      <c r="G199" s="14"/>
      <c r="H199" s="14"/>
      <c r="I199" s="14"/>
      <c r="J199" s="14"/>
      <c r="K199" s="14"/>
      <c r="L199" s="14"/>
      <c r="M199" s="14"/>
      <c r="N199" s="14"/>
      <c r="O199" s="14"/>
      <c r="P199" s="46"/>
      <c r="AL199" s="11"/>
      <c r="AM199" s="11"/>
      <c r="AN199" s="11"/>
      <c r="BH199" s="135"/>
      <c r="BI199" s="134"/>
      <c r="BJ199" s="134"/>
      <c r="BK199" s="134"/>
      <c r="BL199" s="136"/>
      <c r="BM199" s="136"/>
      <c r="BN199" s="135"/>
      <c r="BO199" s="136"/>
      <c r="BP199" s="136"/>
      <c r="BQ199" s="136"/>
      <c r="BR199" s="62"/>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row>
    <row r="200" spans="1:124">
      <c r="A200" s="14"/>
      <c r="B200" s="14"/>
      <c r="C200" s="14"/>
      <c r="D200" s="14"/>
      <c r="E200" s="14"/>
      <c r="F200" s="14"/>
      <c r="G200" s="14"/>
      <c r="H200" s="14"/>
      <c r="I200" s="14"/>
      <c r="J200" s="14"/>
      <c r="K200" s="14"/>
      <c r="L200" s="14"/>
      <c r="M200" s="14"/>
      <c r="N200" s="14"/>
      <c r="O200" s="14"/>
      <c r="P200" s="46"/>
      <c r="AK200" s="8"/>
      <c r="AL200" s="11"/>
      <c r="AM200" s="11"/>
      <c r="AN200" s="11"/>
      <c r="BH200" s="135" t="str">
        <f>IF(AT201=TRUE,E151,C101)</f>
        <v/>
      </c>
      <c r="BI200" s="134" t="str">
        <f>IF(AX201=TRUE,C151&amp;" ("&amp;Z159&amp;")",AI81)</f>
        <v/>
      </c>
      <c r="BJ200" s="134"/>
      <c r="BK200" s="134"/>
      <c r="BL200" s="136" t="str">
        <f>IF($T$57=TRUE,J151&amp;" "&amp;K151,AJ81)</f>
        <v/>
      </c>
      <c r="BM200" s="136"/>
      <c r="BN200" s="135" t="str">
        <f>IF(BB201=TRUE,W159,T102)</f>
        <v/>
      </c>
      <c r="BO200" s="136" t="str">
        <f>IF(BF201=TRUE,L151,IF(BH200="","",IF(L101="","",L101)))</f>
        <v/>
      </c>
      <c r="BP200" s="136"/>
      <c r="BQ200" s="136"/>
      <c r="BR200" s="62"/>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row>
    <row r="201" spans="1:124" ht="19.5" customHeight="1">
      <c r="A201" s="14"/>
      <c r="B201" s="14"/>
      <c r="C201" s="14"/>
      <c r="D201" s="14"/>
      <c r="E201" s="14"/>
      <c r="F201" s="14"/>
      <c r="G201" s="14"/>
      <c r="H201" s="14"/>
      <c r="I201" s="14"/>
      <c r="J201" s="14"/>
      <c r="K201" s="14"/>
      <c r="L201" s="14"/>
      <c r="M201" s="14"/>
      <c r="N201" s="14"/>
      <c r="O201" s="14"/>
      <c r="P201" s="46"/>
      <c r="AK201" s="8"/>
      <c r="AL201" s="11"/>
      <c r="AM201" s="11"/>
      <c r="AN201" s="11"/>
      <c r="AR201" s="3" t="b">
        <f>IF(E151="",FALSE,TRUE)</f>
        <v>0</v>
      </c>
      <c r="AS201" s="3" t="b">
        <f>IF($T$57=TRUE,TRUE)</f>
        <v>0</v>
      </c>
      <c r="AT201" s="12" t="b">
        <f>AND(AR201:AS201)</f>
        <v>0</v>
      </c>
      <c r="AV201" s="3" t="b">
        <f>IF(C151="",FALSE,TRUE)</f>
        <v>0</v>
      </c>
      <c r="AW201" s="3" t="b">
        <f>IF($T$57=TRUE,TRUE)</f>
        <v>0</v>
      </c>
      <c r="AX201" s="12" t="b">
        <f>AND(AV201:AW201)</f>
        <v>0</v>
      </c>
      <c r="AZ201" s="3" t="b">
        <f>IF(AL163="",FALSE,TRUE)</f>
        <v>1</v>
      </c>
      <c r="BA201" s="3" t="b">
        <f>IF($T$57=TRUE,TRUE)</f>
        <v>0</v>
      </c>
      <c r="BB201" s="12" t="b">
        <f>AND(AZ201:BA201)</f>
        <v>0</v>
      </c>
      <c r="BD201" s="3" t="b">
        <f>IF(L151="",FALSE,TRUE)</f>
        <v>0</v>
      </c>
      <c r="BE201" s="3" t="b">
        <f>IF($T$57=TRUE,TRUE)</f>
        <v>0</v>
      </c>
      <c r="BF201" s="12" t="b">
        <f>AND(BD201:BE201)</f>
        <v>0</v>
      </c>
      <c r="BH201" s="135"/>
      <c r="BI201" s="134"/>
      <c r="BJ201" s="134"/>
      <c r="BK201" s="134"/>
      <c r="BL201" s="136"/>
      <c r="BM201" s="136"/>
      <c r="BN201" s="135"/>
      <c r="BO201" s="136"/>
      <c r="BP201" s="136"/>
      <c r="BQ201" s="136"/>
      <c r="BR201" s="62"/>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row>
    <row r="202" spans="1:124">
      <c r="A202" s="14"/>
      <c r="B202" s="14"/>
      <c r="C202" s="14"/>
      <c r="D202" s="14"/>
      <c r="E202" s="14"/>
      <c r="F202" s="14"/>
      <c r="G202" s="14"/>
      <c r="H202" s="14"/>
      <c r="I202" s="14"/>
      <c r="J202" s="14"/>
      <c r="K202" s="14"/>
      <c r="L202" s="14"/>
      <c r="M202" s="14"/>
      <c r="N202" s="14"/>
      <c r="O202" s="14"/>
      <c r="P202" s="46"/>
      <c r="AK202" s="8"/>
      <c r="AL202" s="11"/>
      <c r="AM202" s="11"/>
      <c r="AN202" s="11"/>
      <c r="BH202" s="135" t="str">
        <f>IF(AT203=TRUE,E152,C106)</f>
        <v/>
      </c>
      <c r="BI202" s="134" t="str">
        <f>IF(AX203=TRUE,C152&amp;" ("&amp;Z160&amp;")",AL81)</f>
        <v/>
      </c>
      <c r="BJ202" s="134"/>
      <c r="BK202" s="134"/>
      <c r="BL202" s="136" t="str">
        <f>IF($T$57=TRUE,J152&amp;" "&amp;K152,AM81)</f>
        <v/>
      </c>
      <c r="BM202" s="136"/>
      <c r="BN202" s="135" t="str">
        <f>IF(BB203=TRUE,W160,T107)</f>
        <v/>
      </c>
      <c r="BO202" s="136" t="str">
        <f>IF(BF203=TRUE,L152,IF(BH202="","",IF(L106="","",L106)))</f>
        <v/>
      </c>
      <c r="BP202" s="136"/>
      <c r="BQ202" s="136"/>
      <c r="BR202" s="62"/>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row>
    <row r="203" spans="1:124" ht="20.25" customHeight="1">
      <c r="A203" s="14"/>
      <c r="B203" s="14"/>
      <c r="C203" s="14"/>
      <c r="D203" s="14"/>
      <c r="E203" s="14"/>
      <c r="F203" s="14"/>
      <c r="G203" s="14"/>
      <c r="H203" s="14"/>
      <c r="I203" s="14"/>
      <c r="J203" s="14"/>
      <c r="K203" s="14"/>
      <c r="L203" s="14"/>
      <c r="M203" s="14"/>
      <c r="N203" s="14"/>
      <c r="O203" s="14"/>
      <c r="P203" s="46"/>
      <c r="AK203" s="8"/>
      <c r="AR203" s="3" t="b">
        <f>IF(E152="",FALSE,TRUE)</f>
        <v>0</v>
      </c>
      <c r="AS203" s="3" t="b">
        <f>IF($T$57=TRUE,TRUE)</f>
        <v>0</v>
      </c>
      <c r="AT203" s="12" t="b">
        <f>AND(AR203:AS203)</f>
        <v>0</v>
      </c>
      <c r="AV203" s="3" t="b">
        <f>IF(C152="",FALSE,TRUE)</f>
        <v>0</v>
      </c>
      <c r="AW203" s="3" t="b">
        <f>IF($T$57=TRUE,TRUE)</f>
        <v>0</v>
      </c>
      <c r="AX203" s="12" t="b">
        <f>AND(AV203:AW203)</f>
        <v>0</v>
      </c>
      <c r="AZ203" s="3" t="b">
        <f>IF(W160="",FALSE,TRUE)</f>
        <v>0</v>
      </c>
      <c r="BA203" s="3" t="b">
        <f>IF($T$57=TRUE,TRUE)</f>
        <v>0</v>
      </c>
      <c r="BB203" s="12" t="b">
        <f>AND(AZ203:BA203)</f>
        <v>0</v>
      </c>
      <c r="BD203" s="3" t="b">
        <f>IF(L152="",FALSE,TRUE)</f>
        <v>0</v>
      </c>
      <c r="BE203" s="3" t="b">
        <f>IF($T$57=TRUE,TRUE)</f>
        <v>0</v>
      </c>
      <c r="BF203" s="12" t="b">
        <f>AND(BD203:BE203)</f>
        <v>0</v>
      </c>
      <c r="BH203" s="135"/>
      <c r="BI203" s="134"/>
      <c r="BJ203" s="134"/>
      <c r="BK203" s="134"/>
      <c r="BL203" s="136"/>
      <c r="BM203" s="136"/>
      <c r="BN203" s="135"/>
      <c r="BO203" s="136"/>
      <c r="BP203" s="136"/>
      <c r="BQ203" s="136"/>
      <c r="BR203" s="62"/>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row>
    <row r="204" spans="1:124" ht="15" customHeight="1">
      <c r="A204" s="14"/>
      <c r="B204" s="14"/>
      <c r="C204" s="14"/>
      <c r="D204" s="14"/>
      <c r="E204" s="14"/>
      <c r="F204" s="14"/>
      <c r="G204" s="14"/>
      <c r="H204" s="14"/>
      <c r="I204" s="14"/>
      <c r="J204" s="14"/>
      <c r="K204" s="14"/>
      <c r="L204" s="14"/>
      <c r="M204" s="14"/>
      <c r="N204" s="14"/>
      <c r="O204" s="14"/>
      <c r="P204" s="46"/>
      <c r="BH204" s="135" t="str">
        <f>IF(AT205=TRUE,AI163,C111)</f>
        <v/>
      </c>
      <c r="BI204" s="134" t="str">
        <f>IF(AX205=TRUE,AJ163,AO81)</f>
        <v/>
      </c>
      <c r="BJ204" s="134"/>
      <c r="BK204" s="134"/>
      <c r="BL204" s="136" t="str">
        <f>IF($T$57=TRUE,AK163,AP81)</f>
        <v/>
      </c>
      <c r="BM204" s="136"/>
      <c r="BN204" s="135" t="str">
        <f>IF(BB205=TRUE,AL163,T112)</f>
        <v/>
      </c>
      <c r="BO204" s="136" t="str">
        <f>IF(BF205=TRUE,AM163,IF(BH204="","",IF(L111="","",L111)))</f>
        <v/>
      </c>
      <c r="BP204" s="136"/>
      <c r="BQ204" s="136"/>
      <c r="BR204" s="62"/>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row>
    <row r="205" spans="1:124" ht="12" customHeight="1">
      <c r="A205" s="14"/>
      <c r="B205" s="14"/>
      <c r="C205" s="14"/>
      <c r="D205" s="14"/>
      <c r="E205" s="14"/>
      <c r="F205" s="14"/>
      <c r="G205" s="14"/>
      <c r="H205" s="14"/>
      <c r="I205" s="14"/>
      <c r="J205" s="14"/>
      <c r="K205" s="14"/>
      <c r="L205" s="14"/>
      <c r="M205" s="14"/>
      <c r="N205" s="14"/>
      <c r="O205" s="14"/>
      <c r="P205" s="46"/>
      <c r="AJ205" s="8"/>
      <c r="AR205" s="3" t="b">
        <f>IF(E153="",FALSE,TRUE)</f>
        <v>0</v>
      </c>
      <c r="AS205" s="3" t="b">
        <f>IF($T$57=TRUE,TRUE)</f>
        <v>0</v>
      </c>
      <c r="AT205" s="12" t="b">
        <f>AND(AR205:AS205)</f>
        <v>0</v>
      </c>
      <c r="AV205" s="3" t="b">
        <f>IF(C153="",FALSE,TRUE)</f>
        <v>0</v>
      </c>
      <c r="AW205" s="3" t="b">
        <f>IF($T$57=TRUE,TRUE)</f>
        <v>0</v>
      </c>
      <c r="AX205" s="12" t="b">
        <f>AND(AV205:AW205)</f>
        <v>0</v>
      </c>
      <c r="AZ205" s="3" t="b">
        <f>IF(W161="",FALSE,TRUE)</f>
        <v>0</v>
      </c>
      <c r="BA205" s="3" t="b">
        <f>IF($T$57=TRUE,TRUE)</f>
        <v>0</v>
      </c>
      <c r="BB205" s="12" t="b">
        <f>AND(AZ205:BA205)</f>
        <v>0</v>
      </c>
      <c r="BD205" s="3" t="b">
        <f>IF(L153="",FALSE,TRUE)</f>
        <v>0</v>
      </c>
      <c r="BE205" s="3" t="b">
        <f>IF($T$57=TRUE,TRUE)</f>
        <v>0</v>
      </c>
      <c r="BF205" s="12" t="b">
        <f>AND(BD205:BE205)</f>
        <v>0</v>
      </c>
      <c r="BH205" s="135"/>
      <c r="BI205" s="134"/>
      <c r="BJ205" s="134"/>
      <c r="BK205" s="134"/>
      <c r="BL205" s="136"/>
      <c r="BM205" s="136"/>
      <c r="BN205" s="135"/>
      <c r="BO205" s="136"/>
      <c r="BP205" s="136"/>
      <c r="BQ205" s="136"/>
      <c r="BR205" s="62"/>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row>
    <row r="206" spans="1:124" ht="10.5" customHeight="1">
      <c r="A206" s="14"/>
      <c r="B206" s="14"/>
      <c r="C206" s="14"/>
      <c r="D206" s="14"/>
      <c r="E206" s="14"/>
      <c r="F206" s="14"/>
      <c r="G206" s="14"/>
      <c r="H206" s="14"/>
      <c r="I206" s="14"/>
      <c r="J206" s="14"/>
      <c r="K206" s="14"/>
      <c r="L206" s="14"/>
      <c r="M206" s="14"/>
      <c r="N206" s="14"/>
      <c r="O206" s="14"/>
      <c r="P206" s="46"/>
      <c r="AJ206" s="8"/>
      <c r="AK206" s="8"/>
      <c r="AL206" s="11"/>
      <c r="AM206" s="11"/>
      <c r="AN206" s="11"/>
      <c r="BH206" s="135"/>
      <c r="BI206" s="134"/>
      <c r="BJ206" s="134"/>
      <c r="BK206" s="134"/>
      <c r="BL206" s="136"/>
      <c r="BM206" s="136"/>
      <c r="BN206" s="135"/>
      <c r="BO206" s="136"/>
      <c r="BP206" s="136"/>
      <c r="BQ206" s="136"/>
      <c r="BR206" s="62"/>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row>
    <row r="207" spans="1:124">
      <c r="A207" s="14"/>
      <c r="B207" s="14"/>
      <c r="C207" s="14"/>
      <c r="D207" s="14"/>
      <c r="E207" s="14"/>
      <c r="F207" s="14"/>
      <c r="G207" s="14"/>
      <c r="H207" s="14"/>
      <c r="I207" s="14"/>
      <c r="J207" s="14"/>
      <c r="K207" s="14"/>
      <c r="L207" s="14"/>
      <c r="M207" s="14"/>
      <c r="N207" s="14"/>
      <c r="O207" s="14"/>
      <c r="P207" s="46"/>
      <c r="AK207" s="8"/>
      <c r="AL207" s="11"/>
      <c r="AM207" s="11"/>
      <c r="AN207" s="11"/>
      <c r="BH207" s="135" t="str">
        <f>IF(AT208=TRUE,E155,C116)</f>
        <v/>
      </c>
      <c r="BI207" s="134" t="str">
        <f>IF(AX208=TRUE,C155&amp;" ("&amp;Z163&amp;")",AR81)</f>
        <v/>
      </c>
      <c r="BJ207" s="134"/>
      <c r="BK207" s="134"/>
      <c r="BL207" s="136" t="str">
        <f>IF(Y163=FALSE,"",IF($T$57=TRUE,J155&amp;" "&amp;K155,AS81))</f>
        <v/>
      </c>
      <c r="BM207" s="136"/>
      <c r="BN207" s="135" t="str">
        <f>IF(BB208=TRUE,W163,T117)</f>
        <v/>
      </c>
      <c r="BO207" s="136" t="str">
        <f>IF(BF208=TRUE,L155,IF(BH207="","",IF(L116="","",L116)))</f>
        <v/>
      </c>
      <c r="BP207" s="136"/>
      <c r="BQ207" s="136"/>
      <c r="BR207" s="62"/>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row>
    <row r="208" spans="1:124" ht="18.75" customHeight="1">
      <c r="A208" s="14"/>
      <c r="B208" s="14"/>
      <c r="C208" s="14"/>
      <c r="D208" s="14"/>
      <c r="E208" s="14"/>
      <c r="F208" s="14"/>
      <c r="G208" s="14"/>
      <c r="H208" s="14"/>
      <c r="I208" s="14"/>
      <c r="J208" s="14"/>
      <c r="K208" s="14"/>
      <c r="L208" s="14"/>
      <c r="M208" s="14"/>
      <c r="N208" s="14"/>
      <c r="O208" s="14"/>
      <c r="P208" s="46"/>
      <c r="AK208" s="8"/>
      <c r="AL208" s="11"/>
      <c r="AM208" s="11"/>
      <c r="AN208" s="11"/>
      <c r="AR208" s="3" t="b">
        <f>IF(E155="",FALSE,TRUE)</f>
        <v>0</v>
      </c>
      <c r="AS208" s="3" t="b">
        <f>IF($T$57=TRUE,TRUE)</f>
        <v>0</v>
      </c>
      <c r="AT208" s="12" t="b">
        <f>AND(AR208:AS208)</f>
        <v>0</v>
      </c>
      <c r="AV208" s="3" t="b">
        <f>IF(C155="",FALSE,TRUE)</f>
        <v>0</v>
      </c>
      <c r="AW208" s="3" t="b">
        <f>IF($T$57=TRUE,TRUE)</f>
        <v>0</v>
      </c>
      <c r="AX208" s="12" t="b">
        <f>AND(AV208:AW208)</f>
        <v>0</v>
      </c>
      <c r="AZ208" s="3" t="b">
        <f>IF(W163="",FALSE,TRUE)</f>
        <v>0</v>
      </c>
      <c r="BA208" s="3" t="b">
        <f>IF($T$57=TRUE,TRUE)</f>
        <v>0</v>
      </c>
      <c r="BB208" s="12" t="b">
        <f>AND(AZ208:BA208)</f>
        <v>0</v>
      </c>
      <c r="BD208" s="3" t="b">
        <f>IF(L155="",FALSE,TRUE)</f>
        <v>0</v>
      </c>
      <c r="BE208" s="3" t="b">
        <f>IF($T$57=TRUE,TRUE)</f>
        <v>0</v>
      </c>
      <c r="BF208" s="12" t="b">
        <f>AND(BD208:BE208)</f>
        <v>0</v>
      </c>
      <c r="BH208" s="135"/>
      <c r="BI208" s="134"/>
      <c r="BJ208" s="134"/>
      <c r="BK208" s="134"/>
      <c r="BL208" s="136"/>
      <c r="BM208" s="136"/>
      <c r="BN208" s="135"/>
      <c r="BO208" s="136"/>
      <c r="BP208" s="136"/>
      <c r="BQ208" s="136"/>
      <c r="BR208" s="62"/>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row>
    <row r="209" spans="1:124">
      <c r="A209" s="14"/>
      <c r="B209" s="14"/>
      <c r="C209" s="14"/>
      <c r="D209" s="14"/>
      <c r="E209" s="14"/>
      <c r="F209" s="14"/>
      <c r="G209" s="14"/>
      <c r="H209" s="14"/>
      <c r="I209" s="14"/>
      <c r="J209" s="14"/>
      <c r="K209" s="14"/>
      <c r="L209" s="14"/>
      <c r="M209" s="14"/>
      <c r="N209" s="14"/>
      <c r="O209" s="14"/>
      <c r="P209" s="46"/>
      <c r="AL209" s="11"/>
      <c r="AM209" s="11"/>
      <c r="AN209" s="11"/>
      <c r="BH209" s="135" t="str">
        <f>IF(AT210=TRUE,E156,C122)</f>
        <v/>
      </c>
      <c r="BI209" s="134" t="str">
        <f>IF(AX210=TRUE,C156&amp;" ("&amp;Z164&amp;")",AU81)</f>
        <v/>
      </c>
      <c r="BJ209" s="134"/>
      <c r="BK209" s="134"/>
      <c r="BL209" s="136" t="str">
        <f>IF(Y164=FALSE,"",IF($T$57=TRUE,J156&amp;" "&amp;K156,AV81))</f>
        <v/>
      </c>
      <c r="BM209" s="136"/>
      <c r="BN209" s="135" t="str">
        <f>IF(BB210=TRUE,W164,T123)</f>
        <v/>
      </c>
      <c r="BO209" s="136" t="str">
        <f>IF(BF210=TRUE,L156,IF(BH209="","",IF(L122="","",L122)))</f>
        <v/>
      </c>
      <c r="BP209" s="136"/>
      <c r="BQ209" s="136"/>
      <c r="BR209" s="62"/>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row>
    <row r="210" spans="1:124" ht="18.75" customHeight="1">
      <c r="A210" s="14"/>
      <c r="B210" s="14"/>
      <c r="C210" s="14"/>
      <c r="D210" s="14"/>
      <c r="E210" s="14"/>
      <c r="F210" s="14"/>
      <c r="G210" s="14"/>
      <c r="H210" s="14"/>
      <c r="I210" s="14"/>
      <c r="J210" s="14"/>
      <c r="K210" s="14"/>
      <c r="L210" s="14"/>
      <c r="M210" s="14"/>
      <c r="N210" s="14"/>
      <c r="O210" s="14"/>
      <c r="P210" s="46"/>
      <c r="AL210" s="11"/>
      <c r="AN210" s="11"/>
      <c r="AR210" s="3" t="b">
        <f>IF(E156="",FALSE,TRUE)</f>
        <v>0</v>
      </c>
      <c r="AS210" s="3" t="b">
        <f>IF($T$57=TRUE,TRUE)</f>
        <v>0</v>
      </c>
      <c r="AT210" s="12" t="b">
        <f>AND(AR210:AS210)</f>
        <v>0</v>
      </c>
      <c r="AV210" s="3" t="b">
        <f>IF(C156="",FALSE,TRUE)</f>
        <v>0</v>
      </c>
      <c r="AW210" s="3" t="b">
        <f>IF($T$57=TRUE,TRUE)</f>
        <v>0</v>
      </c>
      <c r="AX210" s="12" t="b">
        <f>AND(AV210:AW210)</f>
        <v>0</v>
      </c>
      <c r="AZ210" s="3" t="b">
        <f>IF(W164="",FALSE,TRUE)</f>
        <v>0</v>
      </c>
      <c r="BA210" s="3" t="b">
        <f>IF($T$57=TRUE,TRUE)</f>
        <v>0</v>
      </c>
      <c r="BB210" s="12" t="b">
        <f>AND(AZ210:BA210)</f>
        <v>0</v>
      </c>
      <c r="BD210" s="3" t="b">
        <f>IF(L156="",FALSE,TRUE)</f>
        <v>0</v>
      </c>
      <c r="BE210" s="3" t="b">
        <f>IF($T$57=TRUE,TRUE)</f>
        <v>0</v>
      </c>
      <c r="BF210" s="12" t="b">
        <f>AND(BD210:BE210)</f>
        <v>0</v>
      </c>
      <c r="BH210" s="135"/>
      <c r="BI210" s="134"/>
      <c r="BJ210" s="134"/>
      <c r="BK210" s="134"/>
      <c r="BL210" s="136"/>
      <c r="BM210" s="136"/>
      <c r="BN210" s="135"/>
      <c r="BO210" s="136"/>
      <c r="BP210" s="136"/>
      <c r="BQ210" s="136"/>
      <c r="BR210" s="62"/>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row>
    <row r="211" spans="1:124" ht="12.75" customHeight="1">
      <c r="A211" s="14"/>
      <c r="B211" s="14"/>
      <c r="C211" s="14"/>
      <c r="D211" s="14"/>
      <c r="E211" s="14"/>
      <c r="F211" s="14"/>
      <c r="G211" s="14"/>
      <c r="H211" s="14"/>
      <c r="I211" s="14"/>
      <c r="J211" s="14"/>
      <c r="K211" s="14"/>
      <c r="L211" s="14"/>
      <c r="M211" s="14"/>
      <c r="N211" s="14"/>
      <c r="O211" s="14"/>
      <c r="P211" s="46"/>
      <c r="AL211" s="11"/>
      <c r="BH211" s="135" t="str">
        <f>IF(AT212=TRUE,E157,C127)</f>
        <v/>
      </c>
      <c r="BI211" s="134" t="str">
        <f>IF(AX212=TRUE,C157&amp;" ("&amp;Z165&amp;")",AX81)</f>
        <v/>
      </c>
      <c r="BJ211" s="134"/>
      <c r="BK211" s="134"/>
      <c r="BL211" s="136" t="str">
        <f>IF(Y165=FALSE,"",IF($T$57=TRUE,J157&amp;" "&amp;K157,AY81))</f>
        <v/>
      </c>
      <c r="BM211" s="136"/>
      <c r="BN211" s="135" t="str">
        <f>IF(BB212=TRUE,W165,T128)</f>
        <v/>
      </c>
      <c r="BO211" s="136" t="str">
        <f>IF(BF212=TRUE,L157,IF(BH211="","",IF(L127="","",L127)))</f>
        <v/>
      </c>
      <c r="BP211" s="136"/>
      <c r="BQ211" s="136"/>
      <c r="BR211" s="62"/>
      <c r="BS211" s="14"/>
      <c r="BT211" s="14"/>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4"/>
      <c r="CS211" s="14"/>
      <c r="CT211" s="14"/>
      <c r="CU211" s="14"/>
      <c r="CV211" s="14"/>
      <c r="CW211" s="14"/>
      <c r="CX211" s="14"/>
      <c r="CY211" s="14"/>
      <c r="CZ211" s="14"/>
      <c r="DA211" s="14"/>
      <c r="DB211" s="14"/>
      <c r="DC211" s="14"/>
      <c r="DD211" s="14"/>
      <c r="DE211" s="14"/>
      <c r="DF211" s="14"/>
      <c r="DG211" s="14"/>
      <c r="DH211" s="14"/>
      <c r="DI211" s="14"/>
      <c r="DJ211" s="14"/>
      <c r="DK211" s="14"/>
      <c r="DL211" s="14"/>
      <c r="DM211" s="14"/>
      <c r="DN211" s="14"/>
      <c r="DO211" s="14"/>
      <c r="DP211" s="14"/>
      <c r="DQ211" s="14"/>
      <c r="DR211" s="14"/>
      <c r="DS211" s="14"/>
      <c r="DT211" s="14"/>
    </row>
    <row r="212" spans="1:124">
      <c r="A212" s="14"/>
      <c r="B212" s="14"/>
      <c r="C212" s="14"/>
      <c r="D212" s="14"/>
      <c r="E212" s="14"/>
      <c r="F212" s="14"/>
      <c r="G212" s="14"/>
      <c r="H212" s="14"/>
      <c r="I212" s="14"/>
      <c r="J212" s="14"/>
      <c r="K212" s="14"/>
      <c r="L212" s="14"/>
      <c r="M212" s="14"/>
      <c r="N212" s="14"/>
      <c r="O212" s="14"/>
      <c r="P212" s="46"/>
      <c r="AR212" s="3" t="b">
        <f>IF(E157="",FALSE,TRUE)</f>
        <v>0</v>
      </c>
      <c r="AS212" s="3" t="b">
        <f>IF($T$57=TRUE,TRUE)</f>
        <v>0</v>
      </c>
      <c r="AT212" s="12" t="b">
        <f>AND(AR212:AS212)</f>
        <v>0</v>
      </c>
      <c r="AV212" s="3" t="b">
        <f>IF(C157="",FALSE,TRUE)</f>
        <v>0</v>
      </c>
      <c r="AW212" s="3" t="b">
        <f>IF($T$57=TRUE,TRUE)</f>
        <v>0</v>
      </c>
      <c r="AX212" s="12" t="b">
        <f>AND(AV212:AW212)</f>
        <v>0</v>
      </c>
      <c r="AZ212" s="3" t="b">
        <f>IF(W165="",FALSE,TRUE)</f>
        <v>0</v>
      </c>
      <c r="BA212" s="3" t="b">
        <f>IF($T$57=TRUE,TRUE)</f>
        <v>0</v>
      </c>
      <c r="BB212" s="12" t="b">
        <f>AND(AZ212:BA212)</f>
        <v>0</v>
      </c>
      <c r="BD212" s="3" t="b">
        <f>IF(L157="",FALSE,TRUE)</f>
        <v>0</v>
      </c>
      <c r="BE212" s="3" t="b">
        <f>IF($T$57=TRUE,TRUE)</f>
        <v>0</v>
      </c>
      <c r="BF212" s="12" t="b">
        <f>AND(BD212:BE212)</f>
        <v>0</v>
      </c>
      <c r="BH212" s="135"/>
      <c r="BI212" s="134"/>
      <c r="BJ212" s="134"/>
      <c r="BK212" s="134"/>
      <c r="BL212" s="136"/>
      <c r="BM212" s="136"/>
      <c r="BN212" s="135"/>
      <c r="BO212" s="136"/>
      <c r="BP212" s="136"/>
      <c r="BQ212" s="136"/>
      <c r="BR212" s="62"/>
      <c r="BS212" s="14"/>
      <c r="BT212" s="14"/>
      <c r="BU212" s="14"/>
      <c r="BV212" s="14"/>
      <c r="BW212" s="14"/>
      <c r="BX212" s="14"/>
      <c r="BY212" s="14"/>
      <c r="BZ212" s="14"/>
      <c r="CA212" s="14"/>
      <c r="CB212" s="14"/>
      <c r="CC212" s="14"/>
      <c r="CD212" s="14"/>
      <c r="CE212" s="14"/>
      <c r="CF212" s="14"/>
      <c r="CG212" s="14"/>
      <c r="CH212" s="14"/>
      <c r="CI212" s="14"/>
      <c r="CJ212" s="14"/>
      <c r="CK212" s="14"/>
      <c r="CL212" s="14"/>
      <c r="CM212" s="14"/>
      <c r="CN212" s="14"/>
      <c r="CO212" s="14"/>
      <c r="CP212" s="14"/>
      <c r="CQ212" s="14"/>
      <c r="CR212" s="14"/>
      <c r="CS212" s="14"/>
      <c r="CT212" s="14"/>
      <c r="CU212" s="14"/>
      <c r="CV212" s="14"/>
      <c r="CW212" s="14"/>
      <c r="CX212" s="14"/>
      <c r="CY212" s="14"/>
      <c r="CZ212" s="14"/>
      <c r="DA212" s="14"/>
      <c r="DB212" s="14"/>
      <c r="DC212" s="14"/>
      <c r="DD212" s="14"/>
      <c r="DE212" s="14"/>
      <c r="DF212" s="14"/>
      <c r="DG212" s="14"/>
      <c r="DH212" s="14"/>
      <c r="DI212" s="14"/>
      <c r="DJ212" s="14"/>
      <c r="DK212" s="14"/>
      <c r="DL212" s="14"/>
      <c r="DM212" s="14"/>
      <c r="DN212" s="14"/>
      <c r="DO212" s="14"/>
      <c r="DP212" s="14"/>
      <c r="DQ212" s="14"/>
      <c r="DR212" s="14"/>
      <c r="DS212" s="14"/>
      <c r="DT212" s="14"/>
    </row>
    <row r="213" spans="1:124">
      <c r="A213" s="14"/>
      <c r="B213" s="14"/>
      <c r="C213" s="14"/>
      <c r="D213" s="14"/>
      <c r="E213" s="14"/>
      <c r="F213" s="14"/>
      <c r="G213" s="14"/>
      <c r="H213" s="14"/>
      <c r="I213" s="14"/>
      <c r="J213" s="14"/>
      <c r="K213" s="14"/>
      <c r="L213" s="14"/>
      <c r="M213" s="14"/>
      <c r="N213" s="14"/>
      <c r="O213" s="14"/>
      <c r="P213" s="46"/>
      <c r="BH213" s="65"/>
      <c r="BI213" s="65"/>
      <c r="BJ213" s="65"/>
      <c r="BK213" s="65"/>
      <c r="BL213" s="65"/>
      <c r="BM213" s="65"/>
      <c r="BN213" s="65"/>
      <c r="BO213" s="65"/>
      <c r="BP213" s="65"/>
      <c r="BQ213" s="65"/>
      <c r="BR213" s="62"/>
      <c r="BS213" s="14"/>
      <c r="BT213" s="14"/>
      <c r="BU213" s="14"/>
      <c r="BV213" s="14"/>
      <c r="BW213" s="14"/>
      <c r="BX213" s="14"/>
      <c r="BY213" s="14"/>
      <c r="BZ213" s="14"/>
      <c r="CA213" s="14"/>
      <c r="CB213" s="14"/>
      <c r="CC213" s="14"/>
      <c r="CD213" s="14"/>
      <c r="CE213" s="14"/>
      <c r="CF213" s="14"/>
      <c r="CG213" s="14"/>
      <c r="CH213" s="14"/>
      <c r="CI213" s="14"/>
      <c r="CJ213" s="14"/>
      <c r="CK213" s="14"/>
      <c r="CL213" s="14"/>
      <c r="CM213" s="14"/>
      <c r="CN213" s="14"/>
      <c r="CO213" s="14"/>
      <c r="CP213" s="14"/>
      <c r="CQ213" s="14"/>
      <c r="CR213" s="14"/>
      <c r="CS213" s="14"/>
      <c r="CT213" s="14"/>
      <c r="CU213" s="14"/>
      <c r="CV213" s="14"/>
      <c r="CW213" s="14"/>
      <c r="CX213" s="14"/>
      <c r="CY213" s="14"/>
      <c r="CZ213" s="14"/>
      <c r="DA213" s="14"/>
      <c r="DB213" s="14"/>
      <c r="DC213" s="14"/>
      <c r="DD213" s="14"/>
      <c r="DE213" s="14"/>
      <c r="DF213" s="14"/>
      <c r="DG213" s="14"/>
      <c r="DH213" s="14"/>
      <c r="DI213" s="14"/>
      <c r="DJ213" s="14"/>
      <c r="DK213" s="14"/>
      <c r="DL213" s="14"/>
      <c r="DM213" s="14"/>
      <c r="DN213" s="14"/>
      <c r="DO213" s="14"/>
      <c r="DP213" s="14"/>
      <c r="DQ213" s="14"/>
      <c r="DR213" s="14"/>
      <c r="DS213" s="14"/>
      <c r="DT213" s="14"/>
    </row>
    <row r="214" spans="1:124">
      <c r="A214" s="14"/>
      <c r="B214" s="14"/>
      <c r="C214" s="14"/>
      <c r="D214" s="14"/>
      <c r="E214" s="14"/>
      <c r="F214" s="14"/>
      <c r="G214" s="14"/>
      <c r="H214" s="14"/>
      <c r="I214" s="14"/>
      <c r="J214" s="14"/>
      <c r="K214" s="14"/>
      <c r="L214" s="14"/>
      <c r="M214" s="14"/>
      <c r="N214" s="14"/>
      <c r="O214" s="14"/>
      <c r="P214" s="46"/>
      <c r="AR214" s="3" t="s">
        <v>51</v>
      </c>
      <c r="AV214" s="3" t="s">
        <v>52</v>
      </c>
      <c r="AZ214" s="3" t="s">
        <v>53</v>
      </c>
      <c r="BD214" s="3" t="s">
        <v>54</v>
      </c>
      <c r="BH214" s="155" t="str">
        <f>IF(R131=FALSE,"",R131)</f>
        <v/>
      </c>
      <c r="BI214" s="155"/>
      <c r="BJ214" s="155"/>
      <c r="BK214" s="155"/>
      <c r="BL214" s="155"/>
      <c r="BM214" s="155"/>
      <c r="BN214" s="155"/>
      <c r="BO214" s="155"/>
      <c r="BP214" s="155"/>
      <c r="BQ214" s="155"/>
      <c r="BR214" s="16"/>
      <c r="BS214" s="14"/>
      <c r="BT214" s="14"/>
      <c r="BU214" s="14"/>
      <c r="BV214" s="14"/>
      <c r="BW214" s="14"/>
      <c r="BX214" s="14"/>
      <c r="BY214" s="14"/>
      <c r="BZ214" s="14"/>
      <c r="CA214" s="14"/>
      <c r="CB214" s="14"/>
      <c r="CC214" s="14"/>
      <c r="CD214" s="14"/>
      <c r="CE214" s="14"/>
      <c r="CF214" s="14"/>
      <c r="CG214" s="14"/>
      <c r="CH214" s="14"/>
      <c r="CI214" s="14"/>
      <c r="CJ214" s="14"/>
      <c r="CK214" s="14"/>
      <c r="CL214" s="14"/>
      <c r="CM214" s="14"/>
      <c r="CN214" s="14"/>
      <c r="CO214" s="14"/>
      <c r="CP214" s="14"/>
      <c r="CQ214" s="14"/>
      <c r="CR214" s="14"/>
      <c r="CS214" s="14"/>
      <c r="CT214" s="14"/>
      <c r="CU214" s="14"/>
      <c r="CV214" s="14"/>
      <c r="CW214" s="14"/>
      <c r="CX214" s="14"/>
      <c r="CY214" s="14"/>
      <c r="CZ214" s="14"/>
      <c r="DA214" s="14"/>
      <c r="DB214" s="14"/>
      <c r="DC214" s="14"/>
      <c r="DD214" s="14"/>
      <c r="DE214" s="14"/>
      <c r="DF214" s="14"/>
      <c r="DG214" s="14"/>
      <c r="DH214" s="14"/>
      <c r="DI214" s="14"/>
      <c r="DJ214" s="14"/>
      <c r="DK214" s="14"/>
      <c r="DL214" s="14"/>
      <c r="DM214" s="14"/>
      <c r="DN214" s="14"/>
      <c r="DO214" s="14"/>
      <c r="DP214" s="14"/>
      <c r="DQ214" s="14"/>
      <c r="DR214" s="14"/>
      <c r="DS214" s="14"/>
      <c r="DT214" s="14"/>
    </row>
    <row r="215" spans="1:124">
      <c r="A215" s="14"/>
      <c r="B215" s="14"/>
      <c r="C215" s="14"/>
      <c r="D215" s="14"/>
      <c r="E215" s="14"/>
      <c r="F215" s="14"/>
      <c r="G215" s="14"/>
      <c r="H215" s="14"/>
      <c r="I215" s="14"/>
      <c r="J215" s="14"/>
      <c r="K215" s="14"/>
      <c r="L215" s="14"/>
      <c r="M215" s="14"/>
      <c r="N215" s="14"/>
      <c r="O215" s="14"/>
      <c r="P215" s="46"/>
      <c r="BH215" s="155"/>
      <c r="BI215" s="155"/>
      <c r="BJ215" s="155"/>
      <c r="BK215" s="155"/>
      <c r="BL215" s="155"/>
      <c r="BM215" s="155"/>
      <c r="BN215" s="155"/>
      <c r="BO215" s="155"/>
      <c r="BP215" s="155"/>
      <c r="BQ215" s="155"/>
      <c r="BR215" s="16"/>
      <c r="BS215" s="14"/>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4"/>
      <c r="CS215" s="14"/>
      <c r="CT215" s="14"/>
      <c r="CU215" s="14"/>
      <c r="CV215" s="14"/>
      <c r="CW215" s="14"/>
      <c r="CX215" s="14"/>
      <c r="CY215" s="14"/>
      <c r="CZ215" s="14"/>
      <c r="DA215" s="14"/>
      <c r="DB215" s="14"/>
      <c r="DC215" s="14"/>
      <c r="DD215" s="14"/>
      <c r="DE215" s="14"/>
      <c r="DF215" s="14"/>
      <c r="DG215" s="14"/>
      <c r="DH215" s="14"/>
      <c r="DI215" s="14"/>
      <c r="DJ215" s="14"/>
      <c r="DK215" s="14"/>
      <c r="DL215" s="14"/>
      <c r="DM215" s="14"/>
      <c r="DN215" s="14"/>
      <c r="DO215" s="14"/>
      <c r="DP215" s="14"/>
      <c r="DQ215" s="14"/>
      <c r="DR215" s="14"/>
      <c r="DS215" s="14"/>
      <c r="DT215" s="14"/>
    </row>
    <row r="216" spans="1:124" ht="15" customHeight="1">
      <c r="A216" s="14"/>
      <c r="B216" s="14"/>
      <c r="C216" s="14"/>
      <c r="D216" s="14"/>
      <c r="E216" s="14"/>
      <c r="F216" s="14"/>
      <c r="G216" s="14"/>
      <c r="H216" s="14"/>
      <c r="I216" s="14"/>
      <c r="J216" s="14"/>
      <c r="K216" s="14"/>
      <c r="L216" s="14"/>
      <c r="M216" s="14"/>
      <c r="N216" s="14"/>
      <c r="O216" s="14"/>
      <c r="P216" s="46"/>
      <c r="BH216" s="153" t="s">
        <v>30</v>
      </c>
      <c r="BI216" s="153"/>
      <c r="BJ216" s="153"/>
      <c r="BK216" s="153"/>
      <c r="BL216" s="153"/>
      <c r="BM216" s="153"/>
      <c r="BN216" s="153"/>
      <c r="BO216" s="153"/>
      <c r="BP216" s="153"/>
      <c r="BQ216" s="153"/>
      <c r="BR216" s="62"/>
      <c r="BS216" s="14"/>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4"/>
      <c r="CS216" s="14"/>
      <c r="CT216" s="14"/>
      <c r="CU216" s="14"/>
      <c r="CV216" s="14"/>
      <c r="CW216" s="14"/>
      <c r="CX216" s="14"/>
      <c r="CY216" s="14"/>
      <c r="CZ216" s="14"/>
      <c r="DA216" s="14"/>
      <c r="DB216" s="14"/>
      <c r="DC216" s="14"/>
      <c r="DD216" s="14"/>
      <c r="DE216" s="14"/>
      <c r="DF216" s="14"/>
      <c r="DG216" s="14"/>
      <c r="DH216" s="14"/>
      <c r="DI216" s="14"/>
      <c r="DJ216" s="14"/>
      <c r="DK216" s="14"/>
      <c r="DL216" s="14"/>
      <c r="DM216" s="14"/>
      <c r="DN216" s="14"/>
      <c r="DO216" s="14"/>
      <c r="DP216" s="14"/>
      <c r="DQ216" s="14"/>
      <c r="DR216" s="14"/>
      <c r="DS216" s="14"/>
      <c r="DT216" s="14"/>
    </row>
    <row r="217" spans="1:124">
      <c r="A217" s="14"/>
      <c r="B217" s="14"/>
      <c r="C217" s="14"/>
      <c r="D217" s="14"/>
      <c r="E217" s="14"/>
      <c r="F217" s="14"/>
      <c r="G217" s="14"/>
      <c r="H217" s="14"/>
      <c r="I217" s="14"/>
      <c r="J217" s="14"/>
      <c r="K217" s="14"/>
      <c r="L217" s="14"/>
      <c r="M217" s="14"/>
      <c r="N217" s="14"/>
      <c r="O217" s="14"/>
      <c r="P217" s="46"/>
      <c r="BH217" s="153"/>
      <c r="BI217" s="153"/>
      <c r="BJ217" s="153"/>
      <c r="BK217" s="153"/>
      <c r="BL217" s="153"/>
      <c r="BM217" s="153"/>
      <c r="BN217" s="153"/>
      <c r="BO217" s="153"/>
      <c r="BP217" s="153"/>
      <c r="BQ217" s="153"/>
      <c r="BR217" s="62"/>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c r="CS217" s="14"/>
      <c r="CT217" s="14"/>
      <c r="CU217" s="14"/>
      <c r="CV217" s="14"/>
      <c r="CW217" s="14"/>
      <c r="CX217" s="14"/>
      <c r="CY217" s="14"/>
      <c r="CZ217" s="14"/>
      <c r="DA217" s="14"/>
      <c r="DB217" s="14"/>
      <c r="DC217" s="14"/>
      <c r="DD217" s="14"/>
      <c r="DE217" s="14"/>
      <c r="DF217" s="14"/>
      <c r="DG217" s="14"/>
      <c r="DH217" s="14"/>
      <c r="DI217" s="14"/>
      <c r="DJ217" s="14"/>
      <c r="DK217" s="14"/>
      <c r="DL217" s="14"/>
      <c r="DM217" s="14"/>
      <c r="DN217" s="14"/>
      <c r="DO217" s="14"/>
      <c r="DP217" s="14"/>
      <c r="DQ217" s="14"/>
      <c r="DR217" s="14"/>
      <c r="DS217" s="14"/>
      <c r="DT217" s="14"/>
    </row>
    <row r="218" spans="1:124">
      <c r="A218" s="14"/>
      <c r="B218" s="14"/>
      <c r="C218" s="14"/>
      <c r="D218" s="14"/>
      <c r="E218" s="14"/>
      <c r="F218" s="14"/>
      <c r="G218" s="14"/>
      <c r="H218" s="14"/>
      <c r="I218" s="14"/>
      <c r="J218" s="14"/>
      <c r="K218" s="14"/>
      <c r="L218" s="14"/>
      <c r="M218" s="14"/>
      <c r="N218" s="14"/>
      <c r="O218" s="14"/>
      <c r="P218" s="46"/>
      <c r="BH218" s="65"/>
      <c r="BI218" s="65"/>
      <c r="BJ218" s="65"/>
      <c r="BK218" s="75"/>
      <c r="BL218" s="65"/>
      <c r="BM218" s="76"/>
      <c r="BN218" s="76"/>
      <c r="BO218" s="76"/>
      <c r="BP218" s="76"/>
      <c r="BQ218" s="76"/>
      <c r="BR218" s="62"/>
      <c r="BS218" s="14"/>
      <c r="BT218" s="14"/>
      <c r="BU218" s="14"/>
      <c r="BV218" s="14"/>
      <c r="BW218" s="14"/>
      <c r="BX218" s="14"/>
      <c r="BY218" s="14"/>
      <c r="BZ218" s="14"/>
      <c r="CA218" s="14"/>
      <c r="CB218" s="14"/>
      <c r="CC218" s="14"/>
      <c r="CD218" s="14"/>
      <c r="CE218" s="14"/>
      <c r="CF218" s="14"/>
      <c r="CG218" s="14"/>
      <c r="CH218" s="14"/>
      <c r="CI218" s="14"/>
      <c r="CJ218" s="14"/>
      <c r="CK218" s="14"/>
      <c r="CL218" s="14"/>
      <c r="CM218" s="14"/>
      <c r="CN218" s="14"/>
      <c r="CO218" s="14"/>
      <c r="CP218" s="14"/>
      <c r="CQ218" s="14"/>
      <c r="CR218" s="14"/>
      <c r="CS218" s="14"/>
      <c r="CT218" s="14"/>
      <c r="CU218" s="14"/>
      <c r="CV218" s="14"/>
      <c r="CW218" s="14"/>
      <c r="CX218" s="14"/>
      <c r="CY218" s="14"/>
      <c r="CZ218" s="14"/>
      <c r="DA218" s="14"/>
      <c r="DB218" s="14"/>
      <c r="DC218" s="14"/>
      <c r="DD218" s="14"/>
      <c r="DE218" s="14"/>
      <c r="DF218" s="14"/>
      <c r="DG218" s="14"/>
      <c r="DH218" s="14"/>
      <c r="DI218" s="14"/>
      <c r="DJ218" s="14"/>
      <c r="DK218" s="14"/>
      <c r="DL218" s="14"/>
      <c r="DM218" s="14"/>
      <c r="DN218" s="14"/>
      <c r="DO218" s="14"/>
      <c r="DP218" s="14"/>
      <c r="DQ218" s="14"/>
      <c r="DR218" s="14"/>
      <c r="DS218" s="14"/>
      <c r="DT218" s="14"/>
    </row>
    <row r="219" spans="1:124">
      <c r="A219" s="14"/>
      <c r="B219" s="14"/>
      <c r="C219" s="14"/>
      <c r="D219" s="14"/>
      <c r="E219" s="14"/>
      <c r="F219" s="14"/>
      <c r="G219" s="14"/>
      <c r="H219" s="14"/>
      <c r="I219" s="14"/>
      <c r="J219" s="14"/>
      <c r="K219" s="14"/>
      <c r="L219" s="14"/>
      <c r="M219" s="14"/>
      <c r="N219" s="14"/>
      <c r="O219" s="14"/>
      <c r="P219" s="46"/>
      <c r="BH219" s="107" t="s">
        <v>19</v>
      </c>
      <c r="BI219" s="77">
        <f ca="1">NOW()</f>
        <v>44988.366946875001</v>
      </c>
      <c r="BJ219" s="78"/>
      <c r="BK219" s="15"/>
      <c r="BL219" s="75" t="s">
        <v>55</v>
      </c>
      <c r="BM219" s="76"/>
      <c r="BN219" s="76"/>
      <c r="BO219" s="76"/>
      <c r="BP219" s="76"/>
      <c r="BQ219" s="76"/>
      <c r="BR219" s="62"/>
      <c r="BS219" s="14"/>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4"/>
      <c r="CS219" s="14"/>
      <c r="CT219" s="14"/>
      <c r="CU219" s="14"/>
      <c r="CV219" s="14"/>
      <c r="CW219" s="14"/>
      <c r="CX219" s="14"/>
      <c r="CY219" s="14"/>
      <c r="CZ219" s="14"/>
      <c r="DA219" s="14"/>
      <c r="DB219" s="14"/>
      <c r="DC219" s="14"/>
      <c r="DD219" s="14"/>
      <c r="DE219" s="14"/>
      <c r="DF219" s="14"/>
      <c r="DG219" s="14"/>
      <c r="DH219" s="14"/>
      <c r="DI219" s="14"/>
      <c r="DJ219" s="14"/>
      <c r="DK219" s="14"/>
      <c r="DL219" s="14"/>
      <c r="DM219" s="14"/>
      <c r="DN219" s="14"/>
      <c r="DO219" s="14"/>
      <c r="DP219" s="14"/>
      <c r="DQ219" s="14"/>
      <c r="DR219" s="14"/>
      <c r="DS219" s="14"/>
      <c r="DT219" s="14"/>
    </row>
    <row r="220" spans="1:124">
      <c r="A220" s="14"/>
      <c r="B220" s="14"/>
      <c r="C220" s="14"/>
      <c r="D220" s="14"/>
      <c r="E220" s="14"/>
      <c r="F220" s="14"/>
      <c r="G220" s="14"/>
      <c r="H220" s="14"/>
      <c r="I220" s="14"/>
      <c r="J220" s="14"/>
      <c r="K220" s="14"/>
      <c r="L220" s="14"/>
      <c r="M220" s="14"/>
      <c r="N220" s="14"/>
      <c r="O220" s="14"/>
      <c r="P220" s="46"/>
      <c r="BH220" s="152"/>
      <c r="BI220" s="152"/>
      <c r="BJ220" s="65"/>
      <c r="BK220" s="76"/>
      <c r="BL220" s="76"/>
      <c r="BM220" s="76"/>
      <c r="BN220" s="76"/>
      <c r="BO220" s="76"/>
      <c r="BP220" s="76"/>
      <c r="BQ220" s="76"/>
      <c r="BR220" s="62"/>
      <c r="BS220" s="14"/>
      <c r="BT220" s="14"/>
      <c r="BU220" s="14"/>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4"/>
      <c r="CS220" s="14"/>
      <c r="CT220" s="14"/>
      <c r="CU220" s="14"/>
      <c r="CV220" s="14"/>
      <c r="CW220" s="14"/>
      <c r="CX220" s="14"/>
      <c r="CY220" s="14"/>
      <c r="CZ220" s="14"/>
      <c r="DA220" s="14"/>
      <c r="DB220" s="14"/>
      <c r="DC220" s="14"/>
      <c r="DD220" s="14"/>
      <c r="DE220" s="14"/>
      <c r="DF220" s="14"/>
      <c r="DG220" s="14"/>
      <c r="DH220" s="14"/>
      <c r="DI220" s="14"/>
      <c r="DJ220" s="14"/>
      <c r="DK220" s="14"/>
      <c r="DL220" s="14"/>
      <c r="DM220" s="14"/>
      <c r="DN220" s="14"/>
      <c r="DO220" s="14"/>
      <c r="DP220" s="14"/>
      <c r="DQ220" s="14"/>
      <c r="DR220" s="14"/>
      <c r="DS220" s="14"/>
      <c r="DT220" s="14"/>
    </row>
    <row r="221" spans="1:124">
      <c r="A221" s="14"/>
      <c r="B221" s="14"/>
      <c r="C221" s="14"/>
      <c r="D221" s="14"/>
      <c r="E221" s="14"/>
      <c r="F221" s="14"/>
      <c r="G221" s="14"/>
      <c r="H221" s="14"/>
      <c r="I221" s="14"/>
      <c r="J221" s="14"/>
      <c r="K221" s="14"/>
      <c r="L221" s="14"/>
      <c r="M221" s="14"/>
      <c r="N221" s="14"/>
      <c r="O221" s="14"/>
      <c r="P221" s="46"/>
      <c r="BH221" s="75"/>
      <c r="BI221" s="76"/>
      <c r="BJ221" s="65"/>
      <c r="BK221" s="65"/>
      <c r="BL221" s="15"/>
      <c r="BM221" s="65"/>
      <c r="BN221" s="65"/>
      <c r="BO221" s="65"/>
      <c r="BP221" s="65"/>
      <c r="BQ221" s="65"/>
      <c r="BR221" s="62"/>
      <c r="BS221" s="14"/>
      <c r="BT221" s="14"/>
      <c r="BU221" s="14"/>
      <c r="BV221" s="14"/>
      <c r="BW221" s="14"/>
      <c r="BX221" s="14"/>
      <c r="BY221" s="14"/>
      <c r="BZ221" s="14"/>
      <c r="CA221" s="14"/>
      <c r="CB221" s="14"/>
      <c r="CC221" s="14"/>
      <c r="CD221" s="14"/>
      <c r="CE221" s="14"/>
      <c r="CF221" s="14"/>
      <c r="CG221" s="14"/>
      <c r="CH221" s="14"/>
      <c r="CI221" s="14"/>
      <c r="CJ221" s="14"/>
      <c r="CK221" s="14"/>
      <c r="CL221" s="14"/>
      <c r="CM221" s="14"/>
      <c r="CN221" s="14"/>
      <c r="CO221" s="14"/>
      <c r="CP221" s="14"/>
      <c r="CQ221" s="14"/>
      <c r="CR221" s="14"/>
      <c r="CS221" s="14"/>
      <c r="CT221" s="14"/>
      <c r="CU221" s="14"/>
      <c r="CV221" s="14"/>
      <c r="CW221" s="14"/>
      <c r="CX221" s="14"/>
      <c r="CY221" s="14"/>
      <c r="CZ221" s="14"/>
      <c r="DA221" s="14"/>
      <c r="DB221" s="14"/>
      <c r="DC221" s="14"/>
      <c r="DD221" s="14"/>
      <c r="DE221" s="14"/>
      <c r="DF221" s="14"/>
      <c r="DG221" s="14"/>
      <c r="DH221" s="14"/>
      <c r="DI221" s="14"/>
      <c r="DJ221" s="14"/>
      <c r="DK221" s="14"/>
      <c r="DL221" s="14"/>
      <c r="DM221" s="14"/>
      <c r="DN221" s="14"/>
      <c r="DO221" s="14"/>
      <c r="DP221" s="14"/>
      <c r="DQ221" s="14"/>
      <c r="DR221" s="14"/>
      <c r="DS221" s="14"/>
      <c r="DT221" s="14"/>
    </row>
    <row r="222" spans="1:124">
      <c r="A222" s="14"/>
      <c r="B222" s="14"/>
      <c r="C222" s="14"/>
      <c r="D222" s="14"/>
      <c r="E222" s="14"/>
      <c r="F222" s="14"/>
      <c r="G222" s="14"/>
      <c r="H222" s="14"/>
      <c r="I222" s="14"/>
      <c r="J222" s="14"/>
      <c r="K222" s="14"/>
      <c r="L222" s="14"/>
      <c r="M222" s="14"/>
      <c r="N222" s="14"/>
      <c r="O222" s="14"/>
      <c r="P222" s="46"/>
      <c r="BH222" s="75"/>
      <c r="BI222" s="65"/>
      <c r="BJ222" s="65"/>
      <c r="BK222" s="65"/>
      <c r="BL222" s="65"/>
      <c r="BM222" s="65"/>
      <c r="BN222" s="65"/>
      <c r="BO222" s="65"/>
      <c r="BP222" s="65"/>
      <c r="BQ222" s="65"/>
      <c r="BR222" s="62"/>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c r="CS222" s="14"/>
      <c r="CT222" s="14"/>
      <c r="CU222" s="14"/>
      <c r="CV222" s="14"/>
      <c r="CW222" s="14"/>
      <c r="CX222" s="14"/>
      <c r="CY222" s="14"/>
      <c r="CZ222" s="14"/>
      <c r="DA222" s="14"/>
      <c r="DB222" s="14"/>
      <c r="DC222" s="14"/>
      <c r="DD222" s="14"/>
      <c r="DE222" s="14"/>
      <c r="DF222" s="14"/>
      <c r="DG222" s="14"/>
      <c r="DH222" s="14"/>
      <c r="DI222" s="14"/>
      <c r="DJ222" s="14"/>
      <c r="DK222" s="14"/>
      <c r="DL222" s="14"/>
      <c r="DM222" s="14"/>
      <c r="DN222" s="14"/>
      <c r="DO222" s="14"/>
      <c r="DP222" s="14"/>
      <c r="DQ222" s="14"/>
      <c r="DR222" s="14"/>
      <c r="DS222" s="14"/>
      <c r="DT222" s="14"/>
    </row>
    <row r="223" spans="1:124">
      <c r="A223" s="14"/>
      <c r="B223" s="14"/>
      <c r="C223" s="14"/>
      <c r="D223" s="14"/>
      <c r="E223" s="14"/>
      <c r="F223" s="14"/>
      <c r="G223" s="14"/>
      <c r="H223" s="14"/>
      <c r="I223" s="14"/>
      <c r="J223" s="14"/>
      <c r="K223" s="14"/>
      <c r="L223" s="14"/>
      <c r="M223" s="14"/>
      <c r="N223" s="14"/>
      <c r="O223" s="14"/>
      <c r="P223" s="46"/>
      <c r="BH223" s="79"/>
      <c r="BI223" s="65"/>
      <c r="BJ223" s="80"/>
      <c r="BK223" s="65"/>
      <c r="BL223" s="81"/>
      <c r="BM223" s="81"/>
      <c r="BN223" s="81"/>
      <c r="BO223" s="81"/>
      <c r="BP223" s="81"/>
      <c r="BQ223" s="65"/>
      <c r="BR223" s="62"/>
      <c r="BS223" s="14"/>
      <c r="BT223" s="14"/>
      <c r="BU223" s="14"/>
      <c r="BV223" s="14"/>
      <c r="BW223" s="14"/>
      <c r="BX223" s="14"/>
      <c r="BY223" s="14"/>
      <c r="BZ223" s="14"/>
      <c r="CA223" s="14"/>
      <c r="CB223" s="14"/>
      <c r="CC223" s="14"/>
      <c r="CD223" s="14"/>
      <c r="CE223" s="14"/>
      <c r="CF223" s="14"/>
      <c r="CG223" s="14"/>
      <c r="CH223" s="14"/>
      <c r="CI223" s="14"/>
      <c r="CJ223" s="14"/>
      <c r="CK223" s="14"/>
      <c r="CL223" s="14"/>
      <c r="CM223" s="14"/>
      <c r="CN223" s="14"/>
      <c r="CO223" s="14"/>
      <c r="CP223" s="14"/>
      <c r="CQ223" s="14"/>
      <c r="CR223" s="14"/>
      <c r="CS223" s="14"/>
      <c r="CT223" s="14"/>
      <c r="CU223" s="14"/>
      <c r="CV223" s="14"/>
      <c r="CW223" s="14"/>
      <c r="CX223" s="14"/>
      <c r="CY223" s="14"/>
      <c r="CZ223" s="14"/>
      <c r="DA223" s="14"/>
      <c r="DB223" s="14"/>
      <c r="DC223" s="14"/>
      <c r="DD223" s="14"/>
      <c r="DE223" s="14"/>
      <c r="DF223" s="14"/>
      <c r="DG223" s="14"/>
      <c r="DH223" s="14"/>
      <c r="DI223" s="14"/>
      <c r="DJ223" s="14"/>
      <c r="DK223" s="14"/>
      <c r="DL223" s="14"/>
      <c r="DM223" s="14"/>
      <c r="DN223" s="14"/>
      <c r="DO223" s="14"/>
      <c r="DP223" s="14"/>
      <c r="DQ223" s="14"/>
      <c r="DR223" s="14"/>
      <c r="DS223" s="14"/>
      <c r="DT223" s="14"/>
    </row>
    <row r="224" spans="1:124">
      <c r="A224" s="14"/>
      <c r="B224" s="14"/>
      <c r="C224" s="14"/>
      <c r="D224" s="14"/>
      <c r="E224" s="14"/>
      <c r="F224" s="14"/>
      <c r="G224" s="14"/>
      <c r="H224" s="14"/>
      <c r="I224" s="14"/>
      <c r="J224" s="14"/>
      <c r="K224" s="14"/>
      <c r="L224" s="14"/>
      <c r="M224" s="14"/>
      <c r="N224" s="14"/>
      <c r="O224" s="14"/>
      <c r="P224" s="46"/>
      <c r="BH224" s="65"/>
      <c r="BI224" s="65"/>
      <c r="BJ224" s="65"/>
      <c r="BK224" s="65"/>
      <c r="BL224" s="154"/>
      <c r="BM224" s="154"/>
      <c r="BN224" s="154"/>
      <c r="BO224" s="154"/>
      <c r="BP224" s="154"/>
      <c r="BQ224" s="65"/>
      <c r="BR224" s="62"/>
      <c r="BS224" s="14"/>
      <c r="BT224" s="14"/>
      <c r="BU224" s="14"/>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4"/>
      <c r="CS224" s="14"/>
      <c r="CT224" s="14"/>
      <c r="CU224" s="14"/>
      <c r="CV224" s="14"/>
      <c r="CW224" s="14"/>
      <c r="CX224" s="14"/>
      <c r="CY224" s="14"/>
      <c r="CZ224" s="14"/>
      <c r="DA224" s="14"/>
      <c r="DB224" s="14"/>
      <c r="DC224" s="14"/>
      <c r="DD224" s="14"/>
      <c r="DE224" s="14"/>
      <c r="DF224" s="14"/>
      <c r="DG224" s="14"/>
      <c r="DH224" s="14"/>
      <c r="DI224" s="14"/>
      <c r="DJ224" s="14"/>
      <c r="DK224" s="14"/>
      <c r="DL224" s="14"/>
      <c r="DM224" s="14"/>
      <c r="DN224" s="14"/>
      <c r="DO224" s="14"/>
      <c r="DP224" s="14"/>
      <c r="DQ224" s="14"/>
      <c r="DR224" s="14"/>
      <c r="DS224" s="14"/>
      <c r="DT224" s="14"/>
    </row>
    <row r="225" spans="1:124">
      <c r="A225" s="14"/>
      <c r="B225" s="14"/>
      <c r="C225" s="14"/>
      <c r="D225" s="14"/>
      <c r="E225" s="14"/>
      <c r="F225" s="14"/>
      <c r="G225" s="14"/>
      <c r="H225" s="14"/>
      <c r="I225" s="14"/>
      <c r="J225" s="14"/>
      <c r="K225" s="14"/>
      <c r="L225" s="14"/>
      <c r="M225" s="14"/>
      <c r="N225" s="14"/>
      <c r="O225" s="14"/>
      <c r="P225" s="46"/>
      <c r="BH225" s="65"/>
      <c r="BI225" s="65"/>
      <c r="BJ225" s="65"/>
      <c r="BK225" s="65"/>
      <c r="BL225" s="150" t="str">
        <f>IF(C11="","",C11)</f>
        <v/>
      </c>
      <c r="BM225" s="150"/>
      <c r="BN225" s="150"/>
      <c r="BO225" s="150"/>
      <c r="BP225" s="150"/>
      <c r="BQ225" s="65"/>
      <c r="BR225" s="62"/>
      <c r="BS225" s="14"/>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4"/>
      <c r="CS225" s="14"/>
      <c r="CT225" s="14"/>
      <c r="CU225" s="14"/>
      <c r="CV225" s="14"/>
      <c r="CW225" s="14"/>
      <c r="CX225" s="14"/>
      <c r="CY225" s="14"/>
      <c r="CZ225" s="14"/>
      <c r="DA225" s="14"/>
      <c r="DB225" s="14"/>
      <c r="DC225" s="14"/>
      <c r="DD225" s="14"/>
      <c r="DE225" s="14"/>
      <c r="DF225" s="14"/>
      <c r="DG225" s="14"/>
      <c r="DH225" s="14"/>
      <c r="DI225" s="14"/>
      <c r="DJ225" s="14"/>
      <c r="DK225" s="14"/>
      <c r="DL225" s="14"/>
      <c r="DM225" s="14"/>
      <c r="DN225" s="14"/>
      <c r="DO225" s="14"/>
      <c r="DP225" s="14"/>
      <c r="DQ225" s="14"/>
      <c r="DR225" s="14"/>
      <c r="DS225" s="14"/>
      <c r="DT225" s="14"/>
    </row>
    <row r="226" spans="1:124">
      <c r="A226" s="14"/>
      <c r="B226" s="14"/>
      <c r="C226" s="14"/>
      <c r="D226" s="14"/>
      <c r="E226" s="14"/>
      <c r="F226" s="14"/>
      <c r="G226" s="14"/>
      <c r="H226" s="14"/>
      <c r="I226" s="14"/>
      <c r="J226" s="14"/>
      <c r="K226" s="14"/>
      <c r="L226" s="14"/>
      <c r="M226" s="14"/>
      <c r="N226" s="14"/>
      <c r="O226" s="14"/>
      <c r="P226" s="46"/>
      <c r="BH226" s="65"/>
      <c r="BI226" s="65"/>
      <c r="BJ226" s="65"/>
      <c r="BK226" s="65"/>
      <c r="BL226" s="151" t="str">
        <f>IF(C14="","",C14)</f>
        <v/>
      </c>
      <c r="BM226" s="151"/>
      <c r="BN226" s="151"/>
      <c r="BO226" s="151"/>
      <c r="BP226" s="151"/>
      <c r="BQ226" s="65"/>
      <c r="BR226" s="62"/>
      <c r="BS226" s="14"/>
      <c r="BT226" s="14"/>
      <c r="BU226" s="14"/>
      <c r="BV226" s="14"/>
      <c r="BW226" s="14"/>
      <c r="BX226" s="14"/>
      <c r="BY226" s="14"/>
      <c r="BZ226" s="14"/>
      <c r="CA226" s="14"/>
      <c r="CB226" s="14"/>
      <c r="CC226" s="14"/>
      <c r="CD226" s="14"/>
      <c r="CE226" s="14"/>
      <c r="CF226" s="14"/>
      <c r="CG226" s="14"/>
      <c r="CH226" s="14"/>
      <c r="CI226" s="14"/>
      <c r="CJ226" s="14"/>
      <c r="CK226" s="14"/>
      <c r="CL226" s="14"/>
      <c r="CM226" s="14"/>
      <c r="CN226" s="14"/>
      <c r="CO226" s="14"/>
      <c r="CP226" s="14"/>
      <c r="CQ226" s="14"/>
      <c r="CR226" s="14"/>
      <c r="CS226" s="14"/>
      <c r="CT226" s="14"/>
      <c r="CU226" s="14"/>
      <c r="CV226" s="14"/>
      <c r="CW226" s="14"/>
      <c r="CX226" s="14"/>
      <c r="CY226" s="14"/>
      <c r="CZ226" s="14"/>
      <c r="DA226" s="14"/>
      <c r="DB226" s="14"/>
      <c r="DC226" s="14"/>
      <c r="DD226" s="14"/>
      <c r="DE226" s="14"/>
      <c r="DF226" s="14"/>
      <c r="DG226" s="14"/>
      <c r="DH226" s="14"/>
      <c r="DI226" s="14"/>
      <c r="DJ226" s="14"/>
      <c r="DK226" s="14"/>
      <c r="DL226" s="14"/>
      <c r="DM226" s="14"/>
      <c r="DN226" s="14"/>
      <c r="DO226" s="14"/>
      <c r="DP226" s="14"/>
      <c r="DQ226" s="14"/>
      <c r="DR226" s="14"/>
      <c r="DS226" s="14"/>
      <c r="DT226" s="14"/>
    </row>
    <row r="227" spans="1:124" hidden="1">
      <c r="A227" s="14"/>
      <c r="B227" s="14"/>
      <c r="C227" s="14"/>
      <c r="D227" s="14"/>
      <c r="E227" s="14"/>
      <c r="F227" s="14"/>
      <c r="G227" s="14"/>
      <c r="H227" s="14"/>
      <c r="I227" s="14"/>
      <c r="J227" s="14"/>
      <c r="K227" s="14"/>
      <c r="L227" s="14"/>
      <c r="M227" s="14"/>
      <c r="N227" s="14"/>
      <c r="O227" s="14"/>
      <c r="P227" s="46"/>
      <c r="BH227" s="65"/>
      <c r="BI227" s="65"/>
      <c r="BJ227" s="65"/>
      <c r="BK227" s="65"/>
      <c r="BL227" s="65"/>
      <c r="BM227" s="65"/>
      <c r="BN227" s="65"/>
      <c r="BO227" s="65"/>
      <c r="BP227" s="65"/>
      <c r="BQ227" s="65"/>
      <c r="BR227" s="62"/>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c r="DI227" s="14"/>
      <c r="DJ227" s="14"/>
      <c r="DK227" s="14"/>
      <c r="DL227" s="14"/>
      <c r="DM227" s="14"/>
      <c r="DN227" s="14"/>
      <c r="DO227" s="14"/>
      <c r="DP227" s="14"/>
      <c r="DQ227" s="14"/>
      <c r="DR227" s="14"/>
      <c r="DS227" s="14"/>
      <c r="DT227" s="14"/>
    </row>
    <row r="228" spans="1:124">
      <c r="A228" s="14"/>
      <c r="B228" s="14"/>
      <c r="C228" s="14"/>
      <c r="D228" s="14"/>
      <c r="E228" s="14"/>
      <c r="F228" s="14"/>
      <c r="G228" s="14"/>
      <c r="H228" s="14"/>
      <c r="I228" s="14"/>
      <c r="J228" s="14"/>
      <c r="K228" s="14"/>
      <c r="L228" s="14"/>
      <c r="M228" s="14"/>
      <c r="N228" s="14"/>
      <c r="O228" s="14"/>
      <c r="P228" s="14"/>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58"/>
      <c r="BI228" s="58"/>
      <c r="BJ228" s="58"/>
      <c r="BK228" s="58"/>
      <c r="BL228" s="58"/>
      <c r="BM228" s="58"/>
      <c r="BN228" s="58"/>
      <c r="BO228" s="58"/>
      <c r="BP228" s="58"/>
      <c r="BQ228" s="58"/>
      <c r="BR228" s="14"/>
      <c r="BS228" s="14"/>
      <c r="BT228" s="14"/>
      <c r="BU228" s="14"/>
      <c r="BV228" s="14"/>
      <c r="BW228" s="14"/>
      <c r="BX228" s="14"/>
      <c r="BY228" s="14"/>
      <c r="BZ228" s="14"/>
      <c r="CA228" s="14"/>
      <c r="CB228" s="14"/>
      <c r="CC228" s="14"/>
      <c r="CD228" s="14"/>
      <c r="CE228" s="14"/>
      <c r="CF228" s="14"/>
      <c r="CG228" s="14"/>
      <c r="CH228" s="14"/>
      <c r="CI228" s="14"/>
      <c r="CJ228" s="14"/>
      <c r="CK228" s="14"/>
      <c r="CL228" s="14"/>
      <c r="CM228" s="14"/>
      <c r="CN228" s="14"/>
      <c r="CO228" s="14"/>
      <c r="CP228" s="14"/>
      <c r="CQ228" s="14"/>
      <c r="CR228" s="14"/>
      <c r="CS228" s="14"/>
      <c r="CT228" s="14"/>
      <c r="CU228" s="14"/>
      <c r="CV228" s="14"/>
      <c r="CW228" s="14"/>
      <c r="CX228" s="14"/>
      <c r="CY228" s="14"/>
      <c r="CZ228" s="14"/>
      <c r="DA228" s="14"/>
      <c r="DB228" s="14"/>
      <c r="DC228" s="14"/>
      <c r="DD228" s="14"/>
      <c r="DE228" s="14"/>
      <c r="DF228" s="14"/>
      <c r="DG228" s="14"/>
      <c r="DH228" s="14"/>
      <c r="DI228" s="14"/>
      <c r="DJ228" s="14"/>
      <c r="DK228" s="14"/>
      <c r="DL228" s="14"/>
      <c r="DM228" s="14"/>
      <c r="DN228" s="14"/>
      <c r="DO228" s="14"/>
      <c r="DP228" s="14"/>
      <c r="DQ228" s="14"/>
      <c r="DR228" s="14"/>
      <c r="DS228" s="14"/>
      <c r="DT228" s="14"/>
    </row>
    <row r="229" spans="1:124">
      <c r="A229" s="14"/>
      <c r="B229" s="14"/>
      <c r="C229" s="14"/>
      <c r="D229" s="14"/>
      <c r="E229" s="14"/>
      <c r="F229" s="14"/>
      <c r="G229" s="14"/>
      <c r="H229" s="14"/>
      <c r="I229" s="14"/>
      <c r="J229" s="14"/>
      <c r="K229" s="14"/>
      <c r="L229" s="14"/>
      <c r="M229" s="14"/>
      <c r="N229" s="14"/>
      <c r="O229" s="14"/>
      <c r="P229" s="14"/>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c r="CL229" s="14"/>
      <c r="CM229" s="14"/>
      <c r="CN229" s="14"/>
      <c r="CO229" s="14"/>
      <c r="CP229" s="14"/>
      <c r="CQ229" s="14"/>
      <c r="CR229" s="14"/>
      <c r="CS229" s="14"/>
      <c r="CT229" s="14"/>
      <c r="CU229" s="14"/>
      <c r="CV229" s="14"/>
      <c r="CW229" s="14"/>
      <c r="CX229" s="14"/>
      <c r="CY229" s="14"/>
      <c r="CZ229" s="14"/>
      <c r="DA229" s="14"/>
      <c r="DB229" s="14"/>
      <c r="DC229" s="14"/>
      <c r="DD229" s="14"/>
      <c r="DE229" s="14"/>
      <c r="DF229" s="14"/>
      <c r="DG229" s="14"/>
      <c r="DH229" s="14"/>
      <c r="DI229" s="14"/>
      <c r="DJ229" s="14"/>
      <c r="DK229" s="14"/>
      <c r="DL229" s="14"/>
      <c r="DM229" s="14"/>
      <c r="DN229" s="14"/>
      <c r="DO229" s="14"/>
      <c r="DP229" s="14"/>
      <c r="DQ229" s="14"/>
      <c r="DR229" s="14"/>
      <c r="DS229" s="14"/>
      <c r="DT229" s="14"/>
    </row>
    <row r="230" spans="1:124">
      <c r="A230" s="14"/>
      <c r="B230" s="14"/>
      <c r="C230" s="14"/>
      <c r="D230" s="14"/>
      <c r="E230" s="14"/>
      <c r="F230" s="14"/>
      <c r="G230" s="14"/>
      <c r="H230" s="14"/>
      <c r="I230" s="14"/>
      <c r="J230" s="14"/>
      <c r="K230" s="14"/>
      <c r="L230" s="14"/>
      <c r="M230" s="14"/>
      <c r="N230" s="14"/>
      <c r="O230" s="14"/>
      <c r="P230" s="14"/>
      <c r="Q230" s="82"/>
      <c r="R230" s="82"/>
      <c r="S230" s="82"/>
      <c r="T230" s="82"/>
      <c r="U230" s="82"/>
      <c r="V230" s="82"/>
      <c r="W230" s="82"/>
      <c r="X230" s="82"/>
      <c r="Y230" s="82"/>
      <c r="Z230" s="82"/>
      <c r="AA230" s="82"/>
      <c r="AB230" s="82"/>
      <c r="AC230" s="82"/>
      <c r="AD230" s="82"/>
      <c r="AE230" s="82"/>
      <c r="AF230" s="82"/>
      <c r="AG230" s="82"/>
      <c r="AH230" s="82"/>
      <c r="AI230" s="88"/>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c r="CH230" s="14"/>
      <c r="CI230" s="14"/>
      <c r="CJ230" s="14"/>
      <c r="CK230" s="14"/>
      <c r="CL230" s="14"/>
      <c r="CM230" s="14"/>
      <c r="CN230" s="14"/>
      <c r="CO230" s="14"/>
      <c r="CP230" s="14"/>
      <c r="CQ230" s="14"/>
      <c r="CR230" s="14"/>
      <c r="CS230" s="14"/>
      <c r="CT230" s="14"/>
      <c r="CU230" s="14"/>
      <c r="CV230" s="14"/>
      <c r="CW230" s="14"/>
      <c r="CX230" s="14"/>
      <c r="CY230" s="14"/>
      <c r="CZ230" s="14"/>
      <c r="DA230" s="14"/>
      <c r="DB230" s="14"/>
      <c r="DC230" s="14"/>
      <c r="DD230" s="14"/>
      <c r="DE230" s="14"/>
      <c r="DF230" s="14"/>
      <c r="DG230" s="14"/>
      <c r="DH230" s="14"/>
      <c r="DI230" s="14"/>
      <c r="DJ230" s="14"/>
      <c r="DK230" s="14"/>
      <c r="DL230" s="14"/>
      <c r="DM230" s="14"/>
      <c r="DN230" s="14"/>
      <c r="DO230" s="14"/>
      <c r="DP230" s="14"/>
      <c r="DQ230" s="14"/>
      <c r="DR230" s="14"/>
      <c r="DS230" s="14"/>
      <c r="DT230" s="14"/>
    </row>
    <row r="231" spans="1:124">
      <c r="A231" s="14"/>
      <c r="B231" s="14"/>
      <c r="C231" s="14"/>
      <c r="D231" s="14"/>
      <c r="E231" s="14"/>
      <c r="F231" s="14"/>
      <c r="G231" s="14"/>
      <c r="H231" s="14"/>
      <c r="I231" s="14"/>
      <c r="J231" s="14"/>
      <c r="K231" s="14"/>
      <c r="L231" s="14"/>
      <c r="M231" s="14"/>
      <c r="N231" s="14"/>
      <c r="O231" s="14"/>
      <c r="P231" s="14"/>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c r="CH231" s="14"/>
      <c r="CI231" s="14"/>
      <c r="CJ231" s="14"/>
      <c r="CK231" s="14"/>
      <c r="CL231" s="14"/>
      <c r="CM231" s="14"/>
      <c r="CN231" s="14"/>
      <c r="CO231" s="14"/>
      <c r="CP231" s="14"/>
      <c r="CQ231" s="14"/>
      <c r="CR231" s="14"/>
      <c r="CS231" s="14"/>
      <c r="CT231" s="14"/>
      <c r="CU231" s="14"/>
      <c r="CV231" s="14"/>
      <c r="CW231" s="14"/>
      <c r="CX231" s="14"/>
      <c r="CY231" s="14"/>
      <c r="CZ231" s="14"/>
      <c r="DA231" s="14"/>
      <c r="DB231" s="14"/>
      <c r="DC231" s="14"/>
      <c r="DD231" s="14"/>
      <c r="DE231" s="14"/>
      <c r="DF231" s="14"/>
      <c r="DG231" s="14"/>
      <c r="DH231" s="14"/>
      <c r="DI231" s="14"/>
      <c r="DJ231" s="14"/>
      <c r="DK231" s="14"/>
      <c r="DL231" s="14"/>
      <c r="DM231" s="14"/>
      <c r="DN231" s="14"/>
      <c r="DO231" s="14"/>
      <c r="DP231" s="14"/>
      <c r="DQ231" s="14"/>
      <c r="DR231" s="14"/>
      <c r="DS231" s="14"/>
      <c r="DT231" s="14"/>
    </row>
    <row r="232" spans="1:124">
      <c r="A232" s="14"/>
      <c r="B232" s="14"/>
      <c r="C232" s="14"/>
      <c r="D232" s="14"/>
      <c r="E232" s="14"/>
      <c r="F232" s="14"/>
      <c r="G232" s="14"/>
      <c r="H232" s="14"/>
      <c r="I232" s="14"/>
      <c r="J232" s="14"/>
      <c r="K232" s="14"/>
      <c r="L232" s="14"/>
      <c r="M232" s="14"/>
      <c r="N232" s="14"/>
      <c r="O232" s="14"/>
      <c r="P232" s="14"/>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4"/>
      <c r="CS232" s="14"/>
      <c r="CT232" s="14"/>
      <c r="CU232" s="14"/>
      <c r="CV232" s="14"/>
      <c r="CW232" s="14"/>
      <c r="CX232" s="14"/>
      <c r="CY232" s="14"/>
      <c r="CZ232" s="14"/>
      <c r="DA232" s="14"/>
      <c r="DB232" s="14"/>
      <c r="DC232" s="14"/>
      <c r="DD232" s="14"/>
      <c r="DE232" s="14"/>
      <c r="DF232" s="14"/>
      <c r="DG232" s="14"/>
      <c r="DH232" s="14"/>
      <c r="DI232" s="14"/>
      <c r="DJ232" s="14"/>
      <c r="DK232" s="14"/>
      <c r="DL232" s="14"/>
      <c r="DM232" s="14"/>
      <c r="DN232" s="14"/>
      <c r="DO232" s="14"/>
      <c r="DP232" s="14"/>
      <c r="DQ232" s="14"/>
      <c r="DR232" s="14"/>
      <c r="DS232" s="14"/>
      <c r="DT232" s="14"/>
    </row>
    <row r="233" spans="1:124">
      <c r="A233" s="14"/>
      <c r="B233" s="14"/>
      <c r="C233" s="14"/>
      <c r="D233" s="14"/>
      <c r="E233" s="14"/>
      <c r="F233" s="14"/>
      <c r="G233" s="14"/>
      <c r="H233" s="14"/>
      <c r="I233" s="14"/>
      <c r="J233" s="14"/>
      <c r="K233" s="14"/>
      <c r="L233" s="14"/>
      <c r="M233" s="14"/>
      <c r="N233" s="14"/>
      <c r="O233" s="14"/>
      <c r="P233" s="14"/>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c r="CL233" s="14"/>
      <c r="CM233" s="14"/>
      <c r="CN233" s="14"/>
      <c r="CO233" s="14"/>
      <c r="CP233" s="14"/>
      <c r="CQ233" s="14"/>
      <c r="CR233" s="14"/>
      <c r="CS233" s="14"/>
      <c r="CT233" s="14"/>
      <c r="CU233" s="14"/>
      <c r="CV233" s="14"/>
      <c r="CW233" s="14"/>
      <c r="CX233" s="14"/>
      <c r="CY233" s="14"/>
      <c r="CZ233" s="14"/>
      <c r="DA233" s="14"/>
      <c r="DB233" s="14"/>
      <c r="DC233" s="14"/>
      <c r="DD233" s="14"/>
      <c r="DE233" s="14"/>
      <c r="DF233" s="14"/>
      <c r="DG233" s="14"/>
      <c r="DH233" s="14"/>
      <c r="DI233" s="14"/>
      <c r="DJ233" s="14"/>
      <c r="DK233" s="14"/>
      <c r="DL233" s="14"/>
      <c r="DM233" s="14"/>
      <c r="DN233" s="14"/>
      <c r="DO233" s="14"/>
      <c r="DP233" s="14"/>
      <c r="DQ233" s="14"/>
      <c r="DR233" s="14"/>
      <c r="DS233" s="14"/>
      <c r="DT233" s="14"/>
    </row>
    <row r="234" spans="1:124">
      <c r="A234" s="14"/>
      <c r="B234" s="14"/>
      <c r="C234" s="14"/>
      <c r="D234" s="14"/>
      <c r="E234" s="14"/>
      <c r="F234" s="14"/>
      <c r="G234" s="14"/>
      <c r="H234" s="14"/>
      <c r="I234" s="14"/>
      <c r="J234" s="14"/>
      <c r="K234" s="14"/>
      <c r="L234" s="14"/>
      <c r="M234" s="14"/>
      <c r="N234" s="14"/>
      <c r="O234" s="14"/>
      <c r="P234" s="14"/>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c r="CL234" s="14"/>
      <c r="CM234" s="14"/>
      <c r="CN234" s="14"/>
      <c r="CO234" s="14"/>
      <c r="CP234" s="14"/>
      <c r="CQ234" s="14"/>
      <c r="CR234" s="14"/>
      <c r="CS234" s="14"/>
      <c r="CT234" s="14"/>
      <c r="CU234" s="14"/>
      <c r="CV234" s="14"/>
      <c r="CW234" s="14"/>
      <c r="CX234" s="14"/>
      <c r="CY234" s="14"/>
      <c r="CZ234" s="14"/>
      <c r="DA234" s="14"/>
      <c r="DB234" s="14"/>
      <c r="DC234" s="14"/>
      <c r="DD234" s="14"/>
      <c r="DE234" s="14"/>
      <c r="DF234" s="14"/>
      <c r="DG234" s="14"/>
      <c r="DH234" s="14"/>
      <c r="DI234" s="14"/>
      <c r="DJ234" s="14"/>
      <c r="DK234" s="14"/>
      <c r="DL234" s="14"/>
      <c r="DM234" s="14"/>
      <c r="DN234" s="14"/>
      <c r="DO234" s="14"/>
      <c r="DP234" s="14"/>
      <c r="DQ234" s="14"/>
      <c r="DR234" s="14"/>
      <c r="DS234" s="14"/>
      <c r="DT234" s="14"/>
    </row>
    <row r="235" spans="1:124">
      <c r="A235" s="14"/>
      <c r="B235" s="14"/>
      <c r="C235" s="14"/>
      <c r="D235" s="14"/>
      <c r="E235" s="14"/>
      <c r="F235" s="14"/>
      <c r="G235" s="14"/>
      <c r="H235" s="14"/>
      <c r="I235" s="14"/>
      <c r="J235" s="14"/>
      <c r="K235" s="14"/>
      <c r="L235" s="14"/>
      <c r="M235" s="14"/>
      <c r="N235" s="14"/>
      <c r="O235" s="14"/>
      <c r="P235" s="14"/>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4"/>
      <c r="CS235" s="14"/>
      <c r="CT235" s="14"/>
      <c r="CU235" s="14"/>
      <c r="CV235" s="14"/>
      <c r="CW235" s="14"/>
      <c r="CX235" s="14"/>
      <c r="CY235" s="14"/>
      <c r="CZ235" s="14"/>
      <c r="DA235" s="14"/>
      <c r="DB235" s="14"/>
      <c r="DC235" s="14"/>
      <c r="DD235" s="14"/>
      <c r="DE235" s="14"/>
      <c r="DF235" s="14"/>
      <c r="DG235" s="14"/>
      <c r="DH235" s="14"/>
      <c r="DI235" s="14"/>
      <c r="DJ235" s="14"/>
      <c r="DK235" s="14"/>
      <c r="DL235" s="14"/>
      <c r="DM235" s="14"/>
      <c r="DN235" s="14"/>
      <c r="DO235" s="14"/>
      <c r="DP235" s="14"/>
      <c r="DQ235" s="14"/>
      <c r="DR235" s="14"/>
      <c r="DS235" s="14"/>
      <c r="DT235" s="14"/>
    </row>
    <row r="236" spans="1:124">
      <c r="A236" s="14"/>
      <c r="B236" s="14"/>
      <c r="C236" s="14"/>
      <c r="D236" s="14"/>
      <c r="E236" s="14"/>
      <c r="F236" s="14"/>
      <c r="G236" s="14"/>
      <c r="H236" s="14"/>
      <c r="I236" s="14"/>
      <c r="J236" s="14"/>
      <c r="K236" s="14"/>
      <c r="L236" s="14"/>
      <c r="M236" s="14"/>
      <c r="N236" s="14"/>
      <c r="O236" s="14"/>
      <c r="P236" s="14"/>
      <c r="Q236" s="82"/>
      <c r="R236" s="82"/>
      <c r="S236" s="82"/>
      <c r="T236" s="82"/>
      <c r="U236" s="82"/>
      <c r="V236" s="89"/>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c r="CH236" s="14"/>
      <c r="CI236" s="14"/>
      <c r="CJ236" s="14"/>
      <c r="CK236" s="14"/>
      <c r="CL236" s="14"/>
      <c r="CM236" s="14"/>
      <c r="CN236" s="14"/>
      <c r="CO236" s="14"/>
      <c r="CP236" s="14"/>
      <c r="CQ236" s="14"/>
      <c r="CR236" s="14"/>
      <c r="CS236" s="14"/>
      <c r="CT236" s="14"/>
      <c r="CU236" s="14"/>
      <c r="CV236" s="14"/>
      <c r="CW236" s="14"/>
      <c r="CX236" s="14"/>
      <c r="CY236" s="14"/>
      <c r="CZ236" s="14"/>
      <c r="DA236" s="14"/>
      <c r="DB236" s="14"/>
      <c r="DC236" s="14"/>
      <c r="DD236" s="14"/>
      <c r="DE236" s="14"/>
      <c r="DF236" s="14"/>
      <c r="DG236" s="14"/>
      <c r="DH236" s="14"/>
      <c r="DI236" s="14"/>
      <c r="DJ236" s="14"/>
      <c r="DK236" s="14"/>
      <c r="DL236" s="14"/>
      <c r="DM236" s="14"/>
      <c r="DN236" s="14"/>
      <c r="DO236" s="14"/>
      <c r="DP236" s="14"/>
      <c r="DQ236" s="14"/>
      <c r="DR236" s="14"/>
      <c r="DS236" s="14"/>
      <c r="DT236" s="14"/>
    </row>
    <row r="237" spans="1:124">
      <c r="A237" s="14"/>
      <c r="B237" s="14"/>
      <c r="C237" s="14"/>
      <c r="D237" s="14"/>
      <c r="E237" s="14"/>
      <c r="F237" s="14"/>
      <c r="G237" s="14"/>
      <c r="H237" s="14"/>
      <c r="I237" s="14"/>
      <c r="J237" s="14"/>
      <c r="K237" s="14"/>
      <c r="L237" s="14"/>
      <c r="M237" s="14"/>
      <c r="N237" s="14"/>
      <c r="O237" s="14"/>
      <c r="P237" s="14"/>
      <c r="Q237" s="82"/>
      <c r="R237" s="82"/>
      <c r="S237" s="82"/>
      <c r="T237" s="82"/>
      <c r="U237" s="82"/>
      <c r="V237" s="89"/>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c r="CL237" s="14"/>
      <c r="CM237" s="14"/>
      <c r="CN237" s="14"/>
      <c r="CO237" s="14"/>
      <c r="CP237" s="14"/>
      <c r="CQ237" s="14"/>
      <c r="CR237" s="14"/>
      <c r="CS237" s="14"/>
      <c r="CT237" s="14"/>
      <c r="CU237" s="14"/>
      <c r="CV237" s="14"/>
      <c r="CW237" s="14"/>
      <c r="CX237" s="14"/>
      <c r="CY237" s="14"/>
      <c r="CZ237" s="14"/>
      <c r="DA237" s="14"/>
      <c r="DB237" s="14"/>
      <c r="DC237" s="14"/>
      <c r="DD237" s="14"/>
      <c r="DE237" s="14"/>
      <c r="DF237" s="14"/>
      <c r="DG237" s="14"/>
      <c r="DH237" s="14"/>
      <c r="DI237" s="14"/>
      <c r="DJ237" s="14"/>
      <c r="DK237" s="14"/>
      <c r="DL237" s="14"/>
      <c r="DM237" s="14"/>
      <c r="DN237" s="14"/>
      <c r="DO237" s="14"/>
      <c r="DP237" s="14"/>
      <c r="DQ237" s="14"/>
      <c r="DR237" s="14"/>
      <c r="DS237" s="14"/>
      <c r="DT237" s="14"/>
    </row>
    <row r="238" spans="1:124">
      <c r="A238" s="14"/>
      <c r="B238" s="14"/>
      <c r="C238" s="14"/>
      <c r="D238" s="14"/>
      <c r="E238" s="14"/>
      <c r="F238" s="14"/>
      <c r="G238" s="14"/>
      <c r="H238" s="14"/>
      <c r="I238" s="14"/>
      <c r="J238" s="14"/>
      <c r="K238" s="14"/>
      <c r="L238" s="14"/>
      <c r="M238" s="14"/>
      <c r="N238" s="14"/>
      <c r="O238" s="14"/>
      <c r="P238" s="14"/>
      <c r="Q238" s="82"/>
      <c r="R238" s="82"/>
      <c r="S238" s="82"/>
      <c r="T238" s="82"/>
      <c r="U238" s="82"/>
      <c r="V238" s="90"/>
      <c r="W238" s="90"/>
      <c r="X238" s="90"/>
      <c r="Y238" s="90"/>
      <c r="Z238" s="90"/>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c r="CL238" s="14"/>
      <c r="CM238" s="14"/>
      <c r="CN238" s="14"/>
      <c r="CO238" s="14"/>
      <c r="CP238" s="14"/>
      <c r="CQ238" s="14"/>
      <c r="CR238" s="14"/>
      <c r="CS238" s="14"/>
      <c r="CT238" s="14"/>
      <c r="CU238" s="14"/>
      <c r="CV238" s="14"/>
      <c r="CW238" s="14"/>
      <c r="CX238" s="14"/>
      <c r="CY238" s="14"/>
      <c r="CZ238" s="14"/>
      <c r="DA238" s="14"/>
      <c r="DB238" s="14"/>
      <c r="DC238" s="14"/>
      <c r="DD238" s="14"/>
      <c r="DE238" s="14"/>
      <c r="DF238" s="14"/>
      <c r="DG238" s="14"/>
      <c r="DH238" s="14"/>
      <c r="DI238" s="14"/>
      <c r="DJ238" s="14"/>
      <c r="DK238" s="14"/>
      <c r="DL238" s="14"/>
      <c r="DM238" s="14"/>
      <c r="DN238" s="14"/>
      <c r="DO238" s="14"/>
      <c r="DP238" s="14"/>
      <c r="DQ238" s="14"/>
      <c r="DR238" s="14"/>
      <c r="DS238" s="14"/>
      <c r="DT238" s="14"/>
    </row>
    <row r="239" spans="1:124">
      <c r="A239" s="14"/>
      <c r="B239" s="14"/>
      <c r="C239" s="14"/>
      <c r="D239" s="14"/>
      <c r="E239" s="14"/>
      <c r="F239" s="14"/>
      <c r="G239" s="14"/>
      <c r="H239" s="14"/>
      <c r="I239" s="14"/>
      <c r="J239" s="14"/>
      <c r="K239" s="14"/>
      <c r="L239" s="14"/>
      <c r="M239" s="14"/>
      <c r="N239" s="14"/>
      <c r="O239" s="14"/>
      <c r="P239" s="14"/>
      <c r="Q239" s="82"/>
      <c r="R239" s="82"/>
      <c r="S239" s="82"/>
      <c r="T239" s="82"/>
      <c r="U239" s="82"/>
      <c r="V239" s="90"/>
      <c r="W239" s="90"/>
      <c r="X239" s="90"/>
      <c r="Y239" s="90"/>
      <c r="Z239" s="90"/>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c r="CL239" s="14"/>
      <c r="CM239" s="14"/>
      <c r="CN239" s="14"/>
      <c r="CO239" s="14"/>
      <c r="CP239" s="14"/>
      <c r="CQ239" s="14"/>
      <c r="CR239" s="14"/>
      <c r="CS239" s="14"/>
      <c r="CT239" s="14"/>
      <c r="CU239" s="14"/>
      <c r="CV239" s="14"/>
      <c r="CW239" s="14"/>
      <c r="CX239" s="14"/>
      <c r="CY239" s="14"/>
      <c r="CZ239" s="14"/>
      <c r="DA239" s="14"/>
      <c r="DB239" s="14"/>
      <c r="DC239" s="14"/>
      <c r="DD239" s="14"/>
      <c r="DE239" s="14"/>
      <c r="DF239" s="14"/>
      <c r="DG239" s="14"/>
      <c r="DH239" s="14"/>
      <c r="DI239" s="14"/>
      <c r="DJ239" s="14"/>
      <c r="DK239" s="14"/>
      <c r="DL239" s="14"/>
      <c r="DM239" s="14"/>
      <c r="DN239" s="14"/>
      <c r="DO239" s="14"/>
      <c r="DP239" s="14"/>
      <c r="DQ239" s="14"/>
      <c r="DR239" s="14"/>
      <c r="DS239" s="14"/>
      <c r="DT239" s="14"/>
    </row>
    <row r="240" spans="1:124">
      <c r="A240" s="14"/>
      <c r="B240" s="14"/>
      <c r="C240" s="14"/>
      <c r="D240" s="14"/>
      <c r="E240" s="14"/>
      <c r="F240" s="14"/>
      <c r="G240" s="14"/>
      <c r="H240" s="14"/>
      <c r="I240" s="14"/>
      <c r="J240" s="14"/>
      <c r="K240" s="14"/>
      <c r="L240" s="14"/>
      <c r="M240" s="14"/>
      <c r="N240" s="14"/>
      <c r="O240" s="14"/>
      <c r="P240" s="14"/>
      <c r="Q240" s="82"/>
      <c r="R240" s="82"/>
      <c r="S240" s="82"/>
      <c r="T240" s="82"/>
      <c r="U240" s="82"/>
      <c r="V240" s="90"/>
      <c r="W240" s="90"/>
      <c r="X240" s="90"/>
      <c r="Y240" s="90"/>
      <c r="Z240" s="90"/>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c r="CH240" s="14"/>
      <c r="CI240" s="14"/>
      <c r="CJ240" s="14"/>
      <c r="CK240" s="14"/>
      <c r="CL240" s="14"/>
      <c r="CM240" s="14"/>
      <c r="CN240" s="14"/>
      <c r="CO240" s="14"/>
      <c r="CP240" s="14"/>
      <c r="CQ240" s="14"/>
      <c r="CR240" s="14"/>
      <c r="CS240" s="14"/>
      <c r="CT240" s="14"/>
      <c r="CU240" s="14"/>
      <c r="CV240" s="14"/>
      <c r="CW240" s="14"/>
      <c r="CX240" s="14"/>
      <c r="CY240" s="14"/>
      <c r="CZ240" s="14"/>
      <c r="DA240" s="14"/>
      <c r="DB240" s="14"/>
      <c r="DC240" s="14"/>
      <c r="DD240" s="14"/>
      <c r="DE240" s="14"/>
      <c r="DF240" s="14"/>
      <c r="DG240" s="14"/>
      <c r="DH240" s="14"/>
      <c r="DI240" s="14"/>
      <c r="DJ240" s="14"/>
      <c r="DK240" s="14"/>
      <c r="DL240" s="14"/>
      <c r="DM240" s="14"/>
      <c r="DN240" s="14"/>
      <c r="DO240" s="14"/>
      <c r="DP240" s="14"/>
      <c r="DQ240" s="14"/>
      <c r="DR240" s="14"/>
      <c r="DS240" s="14"/>
      <c r="DT240" s="14"/>
    </row>
    <row r="241" spans="1:124">
      <c r="A241" s="14"/>
      <c r="B241" s="14"/>
      <c r="C241" s="14"/>
      <c r="D241" s="14"/>
      <c r="E241" s="14"/>
      <c r="F241" s="14"/>
      <c r="G241" s="14"/>
      <c r="H241" s="14"/>
      <c r="I241" s="14"/>
      <c r="J241" s="14"/>
      <c r="K241" s="14"/>
      <c r="L241" s="14"/>
      <c r="M241" s="14"/>
      <c r="N241" s="14"/>
      <c r="O241" s="14"/>
      <c r="P241" s="14"/>
      <c r="Q241" s="82"/>
      <c r="R241" s="82"/>
      <c r="S241" s="82"/>
      <c r="T241" s="82"/>
      <c r="U241" s="82"/>
      <c r="V241" s="90"/>
      <c r="W241" s="90"/>
      <c r="X241" s="90"/>
      <c r="Y241" s="90"/>
      <c r="Z241" s="90"/>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c r="CH241" s="14"/>
      <c r="CI241" s="14"/>
      <c r="CJ241" s="14"/>
      <c r="CK241" s="14"/>
      <c r="CL241" s="14"/>
      <c r="CM241" s="14"/>
      <c r="CN241" s="14"/>
      <c r="CO241" s="14"/>
      <c r="CP241" s="14"/>
      <c r="CQ241" s="14"/>
      <c r="CR241" s="14"/>
      <c r="CS241" s="14"/>
      <c r="CT241" s="14"/>
      <c r="CU241" s="14"/>
      <c r="CV241" s="14"/>
      <c r="CW241" s="14"/>
      <c r="CX241" s="14"/>
      <c r="CY241" s="14"/>
      <c r="CZ241" s="14"/>
      <c r="DA241" s="14"/>
      <c r="DB241" s="14"/>
      <c r="DC241" s="14"/>
      <c r="DD241" s="14"/>
      <c r="DE241" s="14"/>
      <c r="DF241" s="14"/>
      <c r="DG241" s="14"/>
      <c r="DH241" s="14"/>
      <c r="DI241" s="14"/>
      <c r="DJ241" s="14"/>
      <c r="DK241" s="14"/>
      <c r="DL241" s="14"/>
      <c r="DM241" s="14"/>
      <c r="DN241" s="14"/>
      <c r="DO241" s="14"/>
      <c r="DP241" s="14"/>
      <c r="DQ241" s="14"/>
      <c r="DR241" s="14"/>
      <c r="DS241" s="14"/>
      <c r="DT241" s="14"/>
    </row>
    <row r="242" spans="1:124">
      <c r="A242" s="14"/>
      <c r="B242" s="14"/>
      <c r="C242" s="14"/>
      <c r="D242" s="14"/>
      <c r="E242" s="14"/>
      <c r="F242" s="14"/>
      <c r="G242" s="14"/>
      <c r="H242" s="14"/>
      <c r="I242" s="14"/>
      <c r="J242" s="14"/>
      <c r="K242" s="14"/>
      <c r="L242" s="14"/>
      <c r="M242" s="14"/>
      <c r="N242" s="14"/>
      <c r="O242" s="14"/>
      <c r="P242" s="14"/>
      <c r="Q242" s="82"/>
      <c r="R242" s="82"/>
      <c r="S242" s="82"/>
      <c r="T242" s="82"/>
      <c r="U242" s="82"/>
      <c r="V242" s="90"/>
      <c r="W242" s="90"/>
      <c r="X242" s="90"/>
      <c r="Y242" s="90"/>
      <c r="Z242" s="90"/>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c r="CM242" s="14"/>
      <c r="CN242" s="14"/>
      <c r="CO242" s="14"/>
      <c r="CP242" s="14"/>
      <c r="CQ242" s="14"/>
      <c r="CR242" s="14"/>
      <c r="CS242" s="14"/>
      <c r="CT242" s="14"/>
      <c r="CU242" s="14"/>
      <c r="CV242" s="14"/>
      <c r="CW242" s="14"/>
      <c r="CX242" s="14"/>
      <c r="CY242" s="14"/>
      <c r="CZ242" s="14"/>
      <c r="DA242" s="14"/>
      <c r="DB242" s="14"/>
      <c r="DC242" s="14"/>
      <c r="DD242" s="14"/>
      <c r="DE242" s="14"/>
      <c r="DF242" s="14"/>
      <c r="DG242" s="14"/>
      <c r="DH242" s="14"/>
      <c r="DI242" s="14"/>
      <c r="DJ242" s="14"/>
      <c r="DK242" s="14"/>
      <c r="DL242" s="14"/>
      <c r="DM242" s="14"/>
      <c r="DN242" s="14"/>
      <c r="DO242" s="14"/>
      <c r="DP242" s="14"/>
      <c r="DQ242" s="14"/>
      <c r="DR242" s="14"/>
      <c r="DS242" s="14"/>
      <c r="DT242" s="14"/>
    </row>
    <row r="243" spans="1:124">
      <c r="A243" s="14"/>
      <c r="B243" s="14"/>
      <c r="C243" s="14"/>
      <c r="D243" s="14"/>
      <c r="E243" s="14"/>
      <c r="F243" s="14"/>
      <c r="G243" s="14"/>
      <c r="H243" s="14"/>
      <c r="I243" s="14"/>
      <c r="J243" s="14"/>
      <c r="K243" s="14"/>
      <c r="L243" s="14"/>
      <c r="M243" s="14"/>
      <c r="N243" s="14"/>
      <c r="O243" s="14"/>
      <c r="P243" s="14"/>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4"/>
      <c r="CS243" s="14"/>
      <c r="CT243" s="14"/>
      <c r="CU243" s="14"/>
      <c r="CV243" s="14"/>
      <c r="CW243" s="14"/>
      <c r="CX243" s="14"/>
      <c r="CY243" s="14"/>
      <c r="CZ243" s="14"/>
      <c r="DA243" s="14"/>
      <c r="DB243" s="14"/>
      <c r="DC243" s="14"/>
      <c r="DD243" s="14"/>
      <c r="DE243" s="14"/>
      <c r="DF243" s="14"/>
      <c r="DG243" s="14"/>
      <c r="DH243" s="14"/>
      <c r="DI243" s="14"/>
      <c r="DJ243" s="14"/>
      <c r="DK243" s="14"/>
      <c r="DL243" s="14"/>
      <c r="DM243" s="14"/>
      <c r="DN243" s="14"/>
      <c r="DO243" s="14"/>
      <c r="DP243" s="14"/>
      <c r="DQ243" s="14"/>
      <c r="DR243" s="14"/>
      <c r="DS243" s="14"/>
      <c r="DT243" s="14"/>
    </row>
    <row r="244" spans="1:124">
      <c r="A244" s="14"/>
      <c r="B244" s="14"/>
      <c r="C244" s="14"/>
      <c r="D244" s="14"/>
      <c r="E244" s="14"/>
      <c r="F244" s="14"/>
      <c r="G244" s="14"/>
      <c r="H244" s="14"/>
      <c r="I244" s="14"/>
      <c r="J244" s="14"/>
      <c r="K244" s="14"/>
      <c r="L244" s="14"/>
      <c r="M244" s="14"/>
      <c r="N244" s="14"/>
      <c r="O244" s="14"/>
      <c r="P244" s="14"/>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c r="CO244" s="14"/>
      <c r="CP244" s="14"/>
      <c r="CQ244" s="14"/>
      <c r="CR244" s="14"/>
      <c r="CS244" s="14"/>
      <c r="CT244" s="14"/>
      <c r="CU244" s="14"/>
      <c r="CV244" s="14"/>
      <c r="CW244" s="14"/>
      <c r="CX244" s="14"/>
      <c r="CY244" s="14"/>
      <c r="CZ244" s="14"/>
      <c r="DA244" s="14"/>
      <c r="DB244" s="14"/>
      <c r="DC244" s="14"/>
      <c r="DD244" s="14"/>
      <c r="DE244" s="14"/>
      <c r="DF244" s="14"/>
      <c r="DG244" s="14"/>
      <c r="DH244" s="14"/>
      <c r="DI244" s="14"/>
      <c r="DJ244" s="14"/>
      <c r="DK244" s="14"/>
      <c r="DL244" s="14"/>
      <c r="DM244" s="14"/>
      <c r="DN244" s="14"/>
      <c r="DO244" s="14"/>
      <c r="DP244" s="14"/>
      <c r="DQ244" s="14"/>
      <c r="DR244" s="14"/>
      <c r="DS244" s="14"/>
      <c r="DT244" s="14"/>
    </row>
    <row r="245" spans="1:124">
      <c r="A245" s="14"/>
      <c r="B245" s="14"/>
      <c r="C245" s="14"/>
      <c r="D245" s="14"/>
      <c r="E245" s="14"/>
      <c r="F245" s="14"/>
      <c r="G245" s="14"/>
      <c r="H245" s="14"/>
      <c r="I245" s="14"/>
      <c r="J245" s="14"/>
      <c r="K245" s="14"/>
      <c r="L245" s="14"/>
      <c r="M245" s="14"/>
      <c r="N245" s="14"/>
      <c r="O245" s="14"/>
      <c r="P245" s="14"/>
      <c r="Q245" s="82"/>
      <c r="R245" s="82"/>
      <c r="S245" s="82"/>
      <c r="T245" s="82"/>
      <c r="U245" s="82"/>
      <c r="V245" s="82"/>
      <c r="W245" s="82"/>
      <c r="X245" s="82"/>
      <c r="Y245" s="82"/>
      <c r="Z245" s="82"/>
      <c r="AA245" s="82"/>
      <c r="AB245" s="82"/>
      <c r="AC245" s="82"/>
      <c r="AD245" s="82"/>
      <c r="AE245" s="82"/>
      <c r="AF245" s="82"/>
      <c r="AG245" s="82"/>
      <c r="AH245" s="82"/>
      <c r="AI245" s="82"/>
      <c r="AJ245" s="82"/>
      <c r="AK245" s="82"/>
      <c r="AL245" s="82"/>
      <c r="AM245" s="82"/>
      <c r="AN245" s="82"/>
      <c r="AO245" s="82"/>
      <c r="AP245" s="82"/>
      <c r="AQ245" s="82"/>
      <c r="AR245" s="82"/>
      <c r="AS245" s="82"/>
      <c r="AT245" s="82"/>
      <c r="AU245" s="82"/>
      <c r="AV245" s="82"/>
      <c r="AW245" s="82"/>
      <c r="AX245" s="82"/>
      <c r="AY245" s="82"/>
      <c r="AZ245" s="82"/>
      <c r="BA245" s="82"/>
      <c r="BB245" s="82"/>
      <c r="BC245" s="82"/>
      <c r="BD245" s="82"/>
      <c r="BE245" s="82"/>
      <c r="BF245" s="82"/>
      <c r="BG245" s="82"/>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c r="CL245" s="14"/>
      <c r="CM245" s="14"/>
      <c r="CN245" s="14"/>
      <c r="CO245" s="14"/>
      <c r="CP245" s="14"/>
      <c r="CQ245" s="14"/>
      <c r="CR245" s="14"/>
      <c r="CS245" s="14"/>
      <c r="CT245" s="14"/>
      <c r="CU245" s="14"/>
      <c r="CV245" s="14"/>
      <c r="CW245" s="14"/>
      <c r="CX245" s="14"/>
      <c r="CY245" s="14"/>
      <c r="CZ245" s="14"/>
      <c r="DA245" s="14"/>
      <c r="DB245" s="14"/>
      <c r="DC245" s="14"/>
      <c r="DD245" s="14"/>
      <c r="DE245" s="14"/>
      <c r="DF245" s="14"/>
      <c r="DG245" s="14"/>
      <c r="DH245" s="14"/>
      <c r="DI245" s="14"/>
      <c r="DJ245" s="14"/>
      <c r="DK245" s="14"/>
      <c r="DL245" s="14"/>
      <c r="DM245" s="14"/>
      <c r="DN245" s="14"/>
      <c r="DO245" s="14"/>
      <c r="DP245" s="14"/>
      <c r="DQ245" s="14"/>
      <c r="DR245" s="14"/>
      <c r="DS245" s="14"/>
      <c r="DT245" s="14"/>
    </row>
    <row r="246" spans="1:124">
      <c r="A246" s="14"/>
      <c r="B246" s="14"/>
      <c r="C246" s="14"/>
      <c r="D246" s="14"/>
      <c r="E246" s="14"/>
      <c r="F246" s="14"/>
      <c r="G246" s="14"/>
      <c r="H246" s="14"/>
      <c r="I246" s="14"/>
      <c r="J246" s="14"/>
      <c r="K246" s="14"/>
      <c r="L246" s="14"/>
      <c r="M246" s="14"/>
      <c r="N246" s="14"/>
      <c r="O246" s="14"/>
      <c r="P246" s="14"/>
      <c r="Q246" s="82"/>
      <c r="R246" s="82"/>
      <c r="S246" s="82"/>
      <c r="T246" s="82"/>
      <c r="U246" s="82"/>
      <c r="V246" s="82"/>
      <c r="W246" s="82"/>
      <c r="X246" s="82"/>
      <c r="Y246" s="82"/>
      <c r="Z246" s="82"/>
      <c r="AA246" s="82"/>
      <c r="AB246" s="82"/>
      <c r="AC246" s="82"/>
      <c r="AD246" s="82"/>
      <c r="AE246" s="82"/>
      <c r="AF246" s="82"/>
      <c r="AG246" s="82"/>
      <c r="AH246" s="82"/>
      <c r="AI246" s="82"/>
      <c r="AJ246" s="82"/>
      <c r="AK246" s="82"/>
      <c r="AL246" s="82"/>
      <c r="AM246" s="82"/>
      <c r="AN246" s="82"/>
      <c r="AO246" s="82"/>
      <c r="AP246" s="82"/>
      <c r="AQ246" s="82"/>
      <c r="AR246" s="82"/>
      <c r="AS246" s="82"/>
      <c r="AT246" s="82"/>
      <c r="AU246" s="82"/>
      <c r="AV246" s="82"/>
      <c r="AW246" s="82"/>
      <c r="AX246" s="82"/>
      <c r="AY246" s="82"/>
      <c r="AZ246" s="82"/>
      <c r="BA246" s="82"/>
      <c r="BB246" s="82"/>
      <c r="BC246" s="82"/>
      <c r="BD246" s="82"/>
      <c r="BE246" s="82"/>
      <c r="BF246" s="82"/>
      <c r="BG246" s="82"/>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c r="CL246" s="14"/>
      <c r="CM246" s="14"/>
      <c r="CN246" s="14"/>
      <c r="CO246" s="14"/>
      <c r="CP246" s="14"/>
      <c r="CQ246" s="14"/>
      <c r="CR246" s="14"/>
      <c r="CS246" s="14"/>
      <c r="CT246" s="14"/>
      <c r="CU246" s="14"/>
      <c r="CV246" s="14"/>
      <c r="CW246" s="14"/>
      <c r="CX246" s="14"/>
      <c r="CY246" s="14"/>
      <c r="CZ246" s="14"/>
      <c r="DA246" s="14"/>
      <c r="DB246" s="14"/>
      <c r="DC246" s="14"/>
      <c r="DD246" s="14"/>
      <c r="DE246" s="14"/>
      <c r="DF246" s="14"/>
      <c r="DG246" s="14"/>
      <c r="DH246" s="14"/>
      <c r="DI246" s="14"/>
      <c r="DJ246" s="14"/>
      <c r="DK246" s="14"/>
      <c r="DL246" s="14"/>
      <c r="DM246" s="14"/>
      <c r="DN246" s="14"/>
      <c r="DO246" s="14"/>
      <c r="DP246" s="14"/>
      <c r="DQ246" s="14"/>
      <c r="DR246" s="14"/>
      <c r="DS246" s="14"/>
      <c r="DT246" s="14"/>
    </row>
    <row r="247" spans="1:124">
      <c r="A247" s="14"/>
      <c r="B247" s="14"/>
      <c r="C247" s="14"/>
      <c r="D247" s="14"/>
      <c r="E247" s="14"/>
      <c r="F247" s="14"/>
      <c r="G247" s="14"/>
      <c r="H247" s="14"/>
      <c r="I247" s="14"/>
      <c r="J247" s="14"/>
      <c r="K247" s="14"/>
      <c r="L247" s="14"/>
      <c r="M247" s="14"/>
      <c r="N247" s="14"/>
      <c r="O247" s="14"/>
      <c r="P247" s="14"/>
      <c r="Q247" s="82"/>
      <c r="R247" s="82"/>
      <c r="S247" s="82"/>
      <c r="T247" s="82"/>
      <c r="U247" s="82"/>
      <c r="V247" s="82"/>
      <c r="W247" s="82"/>
      <c r="X247" s="82"/>
      <c r="Y247" s="82"/>
      <c r="Z247" s="82"/>
      <c r="AA247" s="82"/>
      <c r="AB247" s="82"/>
      <c r="AC247" s="82"/>
      <c r="AD247" s="82"/>
      <c r="AE247" s="82"/>
      <c r="AF247" s="82"/>
      <c r="AG247" s="82"/>
      <c r="AH247" s="82"/>
      <c r="AI247" s="82"/>
      <c r="AJ247" s="82"/>
      <c r="AK247" s="82"/>
      <c r="AL247" s="82"/>
      <c r="AM247" s="82"/>
      <c r="AN247" s="82"/>
      <c r="AO247" s="82"/>
      <c r="AP247" s="82"/>
      <c r="AQ247" s="82"/>
      <c r="AR247" s="82"/>
      <c r="AS247" s="82"/>
      <c r="AT247" s="82"/>
      <c r="AU247" s="82"/>
      <c r="AV247" s="82"/>
      <c r="AW247" s="82"/>
      <c r="AX247" s="82"/>
      <c r="AY247" s="82"/>
      <c r="AZ247" s="82"/>
      <c r="BA247" s="82"/>
      <c r="BB247" s="82"/>
      <c r="BC247" s="82"/>
      <c r="BD247" s="82"/>
      <c r="BE247" s="82"/>
      <c r="BF247" s="82"/>
      <c r="BG247" s="82"/>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c r="CH247" s="14"/>
      <c r="CI247" s="14"/>
      <c r="CJ247" s="14"/>
      <c r="CK247" s="14"/>
      <c r="CL247" s="14"/>
      <c r="CM247" s="14"/>
      <c r="CN247" s="14"/>
      <c r="CO247" s="14"/>
      <c r="CP247" s="14"/>
      <c r="CQ247" s="14"/>
      <c r="CR247" s="14"/>
      <c r="CS247" s="14"/>
      <c r="CT247" s="14"/>
      <c r="CU247" s="14"/>
      <c r="CV247" s="14"/>
      <c r="CW247" s="14"/>
      <c r="CX247" s="14"/>
      <c r="CY247" s="14"/>
      <c r="CZ247" s="14"/>
      <c r="DA247" s="14"/>
      <c r="DB247" s="14"/>
      <c r="DC247" s="14"/>
      <c r="DD247" s="14"/>
      <c r="DE247" s="14"/>
      <c r="DF247" s="14"/>
      <c r="DG247" s="14"/>
      <c r="DH247" s="14"/>
      <c r="DI247" s="14"/>
      <c r="DJ247" s="14"/>
      <c r="DK247" s="14"/>
      <c r="DL247" s="14"/>
      <c r="DM247" s="14"/>
      <c r="DN247" s="14"/>
      <c r="DO247" s="14"/>
      <c r="DP247" s="14"/>
      <c r="DQ247" s="14"/>
      <c r="DR247" s="14"/>
      <c r="DS247" s="14"/>
      <c r="DT247" s="14"/>
    </row>
    <row r="248" spans="1:124">
      <c r="A248" s="14"/>
      <c r="B248" s="14"/>
      <c r="C248" s="14"/>
      <c r="D248" s="14"/>
      <c r="E248" s="14"/>
      <c r="F248" s="14"/>
      <c r="G248" s="14"/>
      <c r="H248" s="14"/>
      <c r="I248" s="14"/>
      <c r="J248" s="14"/>
      <c r="K248" s="14"/>
      <c r="L248" s="14"/>
      <c r="M248" s="14"/>
      <c r="N248" s="14"/>
      <c r="O248" s="14"/>
      <c r="P248" s="14"/>
      <c r="Q248" s="82"/>
      <c r="R248" s="82"/>
      <c r="S248" s="82"/>
      <c r="T248" s="82"/>
      <c r="U248" s="82"/>
      <c r="V248" s="82"/>
      <c r="W248" s="82"/>
      <c r="X248" s="82"/>
      <c r="Y248" s="82"/>
      <c r="Z248" s="82"/>
      <c r="AA248" s="82"/>
      <c r="AB248" s="82"/>
      <c r="AC248" s="82"/>
      <c r="AD248" s="82"/>
      <c r="AE248" s="82"/>
      <c r="AF248" s="82"/>
      <c r="AG248" s="82"/>
      <c r="AH248" s="82"/>
      <c r="AI248" s="82"/>
      <c r="AJ248" s="82"/>
      <c r="AK248" s="82"/>
      <c r="AL248" s="82"/>
      <c r="AM248" s="82"/>
      <c r="AN248" s="82"/>
      <c r="AO248" s="82"/>
      <c r="AP248" s="82"/>
      <c r="AQ248" s="82"/>
      <c r="AR248" s="82"/>
      <c r="AS248" s="82"/>
      <c r="AT248" s="82"/>
      <c r="AU248" s="82"/>
      <c r="AV248" s="82"/>
      <c r="AW248" s="82"/>
      <c r="AX248" s="82"/>
      <c r="AY248" s="82"/>
      <c r="AZ248" s="82"/>
      <c r="BA248" s="82"/>
      <c r="BB248" s="82"/>
      <c r="BC248" s="82"/>
      <c r="BD248" s="82"/>
      <c r="BE248" s="82"/>
      <c r="BF248" s="82"/>
      <c r="BG248" s="82"/>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c r="CL248" s="14"/>
      <c r="CM248" s="14"/>
      <c r="CN248" s="14"/>
      <c r="CO248" s="14"/>
      <c r="CP248" s="14"/>
      <c r="CQ248" s="14"/>
      <c r="CR248" s="14"/>
      <c r="CS248" s="14"/>
      <c r="CT248" s="14"/>
      <c r="CU248" s="14"/>
      <c r="CV248" s="14"/>
      <c r="CW248" s="14"/>
      <c r="CX248" s="14"/>
      <c r="CY248" s="14"/>
      <c r="CZ248" s="14"/>
      <c r="DA248" s="14"/>
      <c r="DB248" s="14"/>
      <c r="DC248" s="14"/>
      <c r="DD248" s="14"/>
      <c r="DE248" s="14"/>
      <c r="DF248" s="14"/>
      <c r="DG248" s="14"/>
      <c r="DH248" s="14"/>
      <c r="DI248" s="14"/>
      <c r="DJ248" s="14"/>
      <c r="DK248" s="14"/>
      <c r="DL248" s="14"/>
      <c r="DM248" s="14"/>
      <c r="DN248" s="14"/>
      <c r="DO248" s="14"/>
      <c r="DP248" s="14"/>
      <c r="DQ248" s="14"/>
      <c r="DR248" s="14"/>
      <c r="DS248" s="14"/>
      <c r="DT248" s="14"/>
    </row>
    <row r="249" spans="1:124">
      <c r="A249" s="14"/>
      <c r="B249" s="14"/>
      <c r="C249" s="14"/>
      <c r="D249" s="14"/>
      <c r="E249" s="14"/>
      <c r="F249" s="14"/>
      <c r="G249" s="14"/>
      <c r="H249" s="14"/>
      <c r="I249" s="14"/>
      <c r="J249" s="14"/>
      <c r="K249" s="14"/>
      <c r="L249" s="14"/>
      <c r="M249" s="14"/>
      <c r="N249" s="14"/>
      <c r="O249" s="14"/>
      <c r="P249" s="14"/>
      <c r="Q249" s="82"/>
      <c r="R249" s="82"/>
      <c r="S249" s="82"/>
      <c r="T249" s="82"/>
      <c r="U249" s="82"/>
      <c r="V249" s="82"/>
      <c r="W249" s="82"/>
      <c r="X249" s="82"/>
      <c r="Y249" s="82"/>
      <c r="Z249" s="82"/>
      <c r="AA249" s="82"/>
      <c r="AB249" s="82"/>
      <c r="AC249" s="82"/>
      <c r="AD249" s="82"/>
      <c r="AE249" s="82"/>
      <c r="AF249" s="82"/>
      <c r="AG249" s="82"/>
      <c r="AH249" s="82"/>
      <c r="AI249" s="82"/>
      <c r="AJ249" s="82"/>
      <c r="AK249" s="82"/>
      <c r="AL249" s="82"/>
      <c r="AM249" s="82"/>
      <c r="AN249" s="82"/>
      <c r="AO249" s="82"/>
      <c r="AP249" s="82"/>
      <c r="AQ249" s="82"/>
      <c r="AR249" s="82"/>
      <c r="AS249" s="82"/>
      <c r="AT249" s="82"/>
      <c r="AU249" s="82"/>
      <c r="AV249" s="82"/>
      <c r="AW249" s="82"/>
      <c r="AX249" s="82"/>
      <c r="AY249" s="82"/>
      <c r="AZ249" s="82"/>
      <c r="BA249" s="82"/>
      <c r="BB249" s="82"/>
      <c r="BC249" s="82"/>
      <c r="BD249" s="82"/>
      <c r="BE249" s="82"/>
      <c r="BF249" s="82"/>
      <c r="BG249" s="82"/>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c r="CM249" s="14"/>
      <c r="CN249" s="14"/>
      <c r="CO249" s="14"/>
      <c r="CP249" s="14"/>
      <c r="CQ249" s="14"/>
      <c r="CR249" s="14"/>
      <c r="CS249" s="14"/>
      <c r="CT249" s="14"/>
      <c r="CU249" s="14"/>
      <c r="CV249" s="14"/>
      <c r="CW249" s="14"/>
      <c r="CX249" s="14"/>
      <c r="CY249" s="14"/>
      <c r="CZ249" s="14"/>
      <c r="DA249" s="14"/>
      <c r="DB249" s="14"/>
      <c r="DC249" s="14"/>
      <c r="DD249" s="14"/>
      <c r="DE249" s="14"/>
      <c r="DF249" s="14"/>
      <c r="DG249" s="14"/>
      <c r="DH249" s="14"/>
      <c r="DI249" s="14"/>
      <c r="DJ249" s="14"/>
      <c r="DK249" s="14"/>
      <c r="DL249" s="14"/>
      <c r="DM249" s="14"/>
      <c r="DN249" s="14"/>
      <c r="DO249" s="14"/>
      <c r="DP249" s="14"/>
      <c r="DQ249" s="14"/>
      <c r="DR249" s="14"/>
      <c r="DS249" s="14"/>
      <c r="DT249" s="14"/>
    </row>
    <row r="250" spans="1:124">
      <c r="A250" s="14"/>
      <c r="B250" s="14"/>
      <c r="C250" s="14"/>
      <c r="D250" s="14"/>
      <c r="E250" s="14"/>
      <c r="F250" s="14"/>
      <c r="G250" s="14"/>
      <c r="H250" s="14"/>
      <c r="I250" s="14"/>
      <c r="J250" s="14"/>
      <c r="K250" s="14"/>
      <c r="L250" s="14"/>
      <c r="M250" s="14"/>
      <c r="N250" s="14"/>
      <c r="O250" s="14"/>
      <c r="P250" s="14"/>
      <c r="Q250" s="82"/>
      <c r="R250" s="82"/>
      <c r="S250" s="82"/>
      <c r="T250" s="82"/>
      <c r="U250" s="82"/>
      <c r="V250" s="82"/>
      <c r="W250" s="82"/>
      <c r="X250" s="82"/>
      <c r="Y250" s="82"/>
      <c r="Z250" s="82"/>
      <c r="AA250" s="82"/>
      <c r="AB250" s="82"/>
      <c r="AC250" s="82"/>
      <c r="AD250" s="82"/>
      <c r="AE250" s="82"/>
      <c r="AF250" s="82"/>
      <c r="AG250" s="82"/>
      <c r="AH250" s="82"/>
      <c r="AI250" s="82"/>
      <c r="AJ250" s="82"/>
      <c r="AK250" s="82"/>
      <c r="AL250" s="82"/>
      <c r="AM250" s="82"/>
      <c r="AN250" s="82"/>
      <c r="AO250" s="82"/>
      <c r="AP250" s="82"/>
      <c r="AQ250" s="82"/>
      <c r="AR250" s="82"/>
      <c r="AS250" s="82"/>
      <c r="AT250" s="82"/>
      <c r="AU250" s="82"/>
      <c r="AV250" s="82"/>
      <c r="AW250" s="82"/>
      <c r="AX250" s="82"/>
      <c r="AY250" s="82"/>
      <c r="AZ250" s="82"/>
      <c r="BA250" s="82"/>
      <c r="BB250" s="82"/>
      <c r="BC250" s="82"/>
      <c r="BD250" s="82"/>
      <c r="BE250" s="82"/>
      <c r="BF250" s="82"/>
      <c r="BG250" s="82"/>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c r="CL250" s="14"/>
      <c r="CM250" s="14"/>
      <c r="CN250" s="14"/>
      <c r="CO250" s="14"/>
      <c r="CP250" s="14"/>
      <c r="CQ250" s="14"/>
      <c r="CR250" s="14"/>
      <c r="CS250" s="14"/>
      <c r="CT250" s="14"/>
      <c r="CU250" s="14"/>
      <c r="CV250" s="14"/>
      <c r="CW250" s="14"/>
      <c r="CX250" s="14"/>
      <c r="CY250" s="14"/>
      <c r="CZ250" s="14"/>
      <c r="DA250" s="14"/>
      <c r="DB250" s="14"/>
      <c r="DC250" s="14"/>
      <c r="DD250" s="14"/>
      <c r="DE250" s="14"/>
      <c r="DF250" s="14"/>
      <c r="DG250" s="14"/>
      <c r="DH250" s="14"/>
      <c r="DI250" s="14"/>
      <c r="DJ250" s="14"/>
      <c r="DK250" s="14"/>
      <c r="DL250" s="14"/>
      <c r="DM250" s="14"/>
      <c r="DN250" s="14"/>
      <c r="DO250" s="14"/>
      <c r="DP250" s="14"/>
      <c r="DQ250" s="14"/>
      <c r="DR250" s="14"/>
      <c r="DS250" s="14"/>
      <c r="DT250" s="14"/>
    </row>
    <row r="251" spans="1:124">
      <c r="A251" s="14"/>
      <c r="B251" s="14"/>
      <c r="C251" s="14"/>
      <c r="D251" s="14"/>
      <c r="E251" s="14"/>
      <c r="F251" s="14"/>
      <c r="G251" s="14"/>
      <c r="H251" s="14"/>
      <c r="I251" s="14"/>
      <c r="J251" s="14"/>
      <c r="K251" s="14"/>
      <c r="L251" s="14"/>
      <c r="M251" s="14"/>
      <c r="N251" s="14"/>
      <c r="O251" s="14"/>
      <c r="P251" s="14"/>
      <c r="Q251" s="82"/>
      <c r="R251" s="82"/>
      <c r="S251" s="82"/>
      <c r="T251" s="82"/>
      <c r="U251" s="82"/>
      <c r="V251" s="82"/>
      <c r="W251" s="82"/>
      <c r="X251" s="82"/>
      <c r="Y251" s="82"/>
      <c r="Z251" s="82"/>
      <c r="AA251" s="82"/>
      <c r="AB251" s="82"/>
      <c r="AC251" s="82"/>
      <c r="AD251" s="82"/>
      <c r="AE251" s="82"/>
      <c r="AF251" s="82"/>
      <c r="AG251" s="82"/>
      <c r="AH251" s="82"/>
      <c r="AI251" s="82"/>
      <c r="AJ251" s="82"/>
      <c r="AK251" s="82"/>
      <c r="AL251" s="82"/>
      <c r="AM251" s="82"/>
      <c r="AN251" s="82"/>
      <c r="AO251" s="82"/>
      <c r="AP251" s="82"/>
      <c r="AQ251" s="82"/>
      <c r="AR251" s="82"/>
      <c r="AS251" s="82"/>
      <c r="AT251" s="82"/>
      <c r="AU251" s="82"/>
      <c r="AV251" s="82"/>
      <c r="AW251" s="82"/>
      <c r="AX251" s="82"/>
      <c r="AY251" s="82"/>
      <c r="AZ251" s="82"/>
      <c r="BA251" s="82"/>
      <c r="BB251" s="82"/>
      <c r="BC251" s="82"/>
      <c r="BD251" s="82"/>
      <c r="BE251" s="82"/>
      <c r="BF251" s="82"/>
      <c r="BG251" s="82"/>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c r="CH251" s="14"/>
      <c r="CI251" s="14"/>
      <c r="CJ251" s="14"/>
      <c r="CK251" s="14"/>
      <c r="CL251" s="14"/>
      <c r="CM251" s="14"/>
      <c r="CN251" s="14"/>
      <c r="CO251" s="14"/>
      <c r="CP251" s="14"/>
      <c r="CQ251" s="14"/>
      <c r="CR251" s="14"/>
      <c r="CS251" s="14"/>
      <c r="CT251" s="14"/>
      <c r="CU251" s="14"/>
      <c r="CV251" s="14"/>
      <c r="CW251" s="14"/>
      <c r="CX251" s="14"/>
      <c r="CY251" s="14"/>
      <c r="CZ251" s="14"/>
      <c r="DA251" s="14"/>
      <c r="DB251" s="14"/>
      <c r="DC251" s="14"/>
      <c r="DD251" s="14"/>
      <c r="DE251" s="14"/>
      <c r="DF251" s="14"/>
      <c r="DG251" s="14"/>
      <c r="DH251" s="14"/>
      <c r="DI251" s="14"/>
      <c r="DJ251" s="14"/>
      <c r="DK251" s="14"/>
      <c r="DL251" s="14"/>
      <c r="DM251" s="14"/>
      <c r="DN251" s="14"/>
      <c r="DO251" s="14"/>
      <c r="DP251" s="14"/>
      <c r="DQ251" s="14"/>
      <c r="DR251" s="14"/>
      <c r="DS251" s="14"/>
      <c r="DT251" s="14"/>
    </row>
    <row r="252" spans="1:124">
      <c r="A252" s="14"/>
      <c r="B252" s="14"/>
      <c r="C252" s="14"/>
      <c r="D252" s="14"/>
      <c r="E252" s="14"/>
      <c r="F252" s="14"/>
      <c r="G252" s="14"/>
      <c r="H252" s="14"/>
      <c r="I252" s="14"/>
      <c r="J252" s="14"/>
      <c r="K252" s="14"/>
      <c r="L252" s="14"/>
      <c r="M252" s="14"/>
      <c r="N252" s="14"/>
      <c r="O252" s="14"/>
      <c r="P252" s="14"/>
      <c r="Q252" s="82"/>
      <c r="R252" s="82"/>
      <c r="S252" s="82"/>
      <c r="T252" s="82"/>
      <c r="U252" s="82"/>
      <c r="V252" s="82"/>
      <c r="W252" s="82"/>
      <c r="X252" s="82"/>
      <c r="Y252" s="82"/>
      <c r="Z252" s="82"/>
      <c r="AA252" s="82"/>
      <c r="AB252" s="82"/>
      <c r="AC252" s="82"/>
      <c r="AD252" s="82"/>
      <c r="AE252" s="82"/>
      <c r="AF252" s="82"/>
      <c r="AG252" s="82"/>
      <c r="AH252" s="82"/>
      <c r="AI252" s="82"/>
      <c r="AJ252" s="82"/>
      <c r="AK252" s="82"/>
      <c r="AL252" s="82"/>
      <c r="AM252" s="82"/>
      <c r="AN252" s="82"/>
      <c r="AO252" s="82"/>
      <c r="AP252" s="82"/>
      <c r="AQ252" s="82"/>
      <c r="AR252" s="82"/>
      <c r="AS252" s="82"/>
      <c r="AT252" s="82"/>
      <c r="AU252" s="82"/>
      <c r="AV252" s="82"/>
      <c r="AW252" s="82"/>
      <c r="AX252" s="82"/>
      <c r="AY252" s="82"/>
      <c r="AZ252" s="82"/>
      <c r="BA252" s="82"/>
      <c r="BB252" s="82"/>
      <c r="BC252" s="82"/>
      <c r="BD252" s="82"/>
      <c r="BE252" s="82"/>
      <c r="BF252" s="82"/>
      <c r="BG252" s="82"/>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c r="CL252" s="14"/>
      <c r="CM252" s="14"/>
      <c r="CN252" s="14"/>
      <c r="CO252" s="14"/>
      <c r="CP252" s="14"/>
      <c r="CQ252" s="14"/>
      <c r="CR252" s="14"/>
      <c r="CS252" s="14"/>
      <c r="CT252" s="14"/>
      <c r="CU252" s="14"/>
      <c r="CV252" s="14"/>
      <c r="CW252" s="14"/>
      <c r="CX252" s="14"/>
      <c r="CY252" s="14"/>
      <c r="CZ252" s="14"/>
      <c r="DA252" s="14"/>
      <c r="DB252" s="14"/>
      <c r="DC252" s="14"/>
      <c r="DD252" s="14"/>
      <c r="DE252" s="14"/>
      <c r="DF252" s="14"/>
      <c r="DG252" s="14"/>
      <c r="DH252" s="14"/>
      <c r="DI252" s="14"/>
      <c r="DJ252" s="14"/>
      <c r="DK252" s="14"/>
      <c r="DL252" s="14"/>
      <c r="DM252" s="14"/>
      <c r="DN252" s="14"/>
      <c r="DO252" s="14"/>
      <c r="DP252" s="14"/>
      <c r="DQ252" s="14"/>
      <c r="DR252" s="14"/>
      <c r="DS252" s="14"/>
      <c r="DT252" s="14"/>
    </row>
    <row r="253" spans="1:124">
      <c r="A253" s="14"/>
      <c r="B253" s="14"/>
      <c r="C253" s="14"/>
      <c r="D253" s="14"/>
      <c r="E253" s="14"/>
      <c r="F253" s="14"/>
      <c r="G253" s="14"/>
      <c r="H253" s="14"/>
      <c r="I253" s="14"/>
      <c r="J253" s="14"/>
      <c r="K253" s="14"/>
      <c r="L253" s="14"/>
      <c r="M253" s="14"/>
      <c r="N253" s="14"/>
      <c r="O253" s="14"/>
      <c r="P253" s="14"/>
      <c r="Q253" s="82"/>
      <c r="R253" s="82"/>
      <c r="S253" s="82"/>
      <c r="T253" s="82"/>
      <c r="U253" s="82"/>
      <c r="V253" s="82"/>
      <c r="W253" s="82"/>
      <c r="X253" s="82"/>
      <c r="Y253" s="82"/>
      <c r="Z253" s="82"/>
      <c r="AA253" s="82"/>
      <c r="AB253" s="82"/>
      <c r="AC253" s="82"/>
      <c r="AD253" s="82"/>
      <c r="AE253" s="82"/>
      <c r="AF253" s="82"/>
      <c r="AG253" s="82"/>
      <c r="AH253" s="82"/>
      <c r="AI253" s="82"/>
      <c r="AJ253" s="82"/>
      <c r="AK253" s="82"/>
      <c r="AL253" s="82"/>
      <c r="AM253" s="82"/>
      <c r="AN253" s="82"/>
      <c r="AO253" s="82"/>
      <c r="AP253" s="82"/>
      <c r="AQ253" s="82"/>
      <c r="AR253" s="82"/>
      <c r="AS253" s="82"/>
      <c r="AT253" s="82"/>
      <c r="AU253" s="82"/>
      <c r="AV253" s="82"/>
      <c r="AW253" s="82"/>
      <c r="AX253" s="82"/>
      <c r="AY253" s="82"/>
      <c r="AZ253" s="82"/>
      <c r="BA253" s="82"/>
      <c r="BB253" s="82"/>
      <c r="BC253" s="82"/>
      <c r="BD253" s="82"/>
      <c r="BE253" s="82"/>
      <c r="BF253" s="82"/>
      <c r="BG253" s="82"/>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c r="CL253" s="14"/>
      <c r="CM253" s="14"/>
      <c r="CN253" s="14"/>
      <c r="CO253" s="14"/>
      <c r="CP253" s="14"/>
      <c r="CQ253" s="14"/>
      <c r="CR253" s="14"/>
      <c r="CS253" s="14"/>
      <c r="CT253" s="14"/>
      <c r="CU253" s="14"/>
      <c r="CV253" s="14"/>
      <c r="CW253" s="14"/>
      <c r="CX253" s="14"/>
      <c r="CY253" s="14"/>
      <c r="CZ253" s="14"/>
      <c r="DA253" s="14"/>
      <c r="DB253" s="14"/>
      <c r="DC253" s="14"/>
      <c r="DD253" s="14"/>
      <c r="DE253" s="14"/>
      <c r="DF253" s="14"/>
      <c r="DG253" s="14"/>
      <c r="DH253" s="14"/>
      <c r="DI253" s="14"/>
      <c r="DJ253" s="14"/>
      <c r="DK253" s="14"/>
      <c r="DL253" s="14"/>
      <c r="DM253" s="14"/>
      <c r="DN253" s="14"/>
      <c r="DO253" s="14"/>
      <c r="DP253" s="14"/>
      <c r="DQ253" s="14"/>
      <c r="DR253" s="14"/>
      <c r="DS253" s="14"/>
      <c r="DT253" s="14"/>
    </row>
    <row r="254" spans="1:124">
      <c r="A254" s="14"/>
      <c r="B254" s="14"/>
      <c r="C254" s="14"/>
      <c r="D254" s="14"/>
      <c r="E254" s="14"/>
      <c r="F254" s="14"/>
      <c r="G254" s="14"/>
      <c r="H254" s="14"/>
      <c r="I254" s="14"/>
      <c r="J254" s="14"/>
      <c r="K254" s="14"/>
      <c r="L254" s="14"/>
      <c r="M254" s="14"/>
      <c r="N254" s="14"/>
      <c r="O254" s="14"/>
      <c r="P254" s="14"/>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c r="AN254" s="82"/>
      <c r="AO254" s="82"/>
      <c r="AP254" s="82"/>
      <c r="AQ254" s="82"/>
      <c r="AR254" s="82"/>
      <c r="AS254" s="82"/>
      <c r="AT254" s="82"/>
      <c r="AU254" s="82"/>
      <c r="AV254" s="82"/>
      <c r="AW254" s="82"/>
      <c r="AX254" s="82"/>
      <c r="AY254" s="82"/>
      <c r="AZ254" s="82"/>
      <c r="BA254" s="82"/>
      <c r="BB254" s="82"/>
      <c r="BC254" s="82"/>
      <c r="BD254" s="82"/>
      <c r="BE254" s="82"/>
      <c r="BF254" s="82"/>
      <c r="BG254" s="82"/>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c r="CL254" s="14"/>
      <c r="CM254" s="14"/>
      <c r="CN254" s="14"/>
      <c r="CO254" s="14"/>
      <c r="CP254" s="14"/>
      <c r="CQ254" s="14"/>
      <c r="CR254" s="14"/>
      <c r="CS254" s="14"/>
      <c r="CT254" s="14"/>
      <c r="CU254" s="14"/>
      <c r="CV254" s="14"/>
      <c r="CW254" s="14"/>
      <c r="CX254" s="14"/>
      <c r="CY254" s="14"/>
      <c r="CZ254" s="14"/>
      <c r="DA254" s="14"/>
      <c r="DB254" s="14"/>
      <c r="DC254" s="14"/>
      <c r="DD254" s="14"/>
      <c r="DE254" s="14"/>
      <c r="DF254" s="14"/>
      <c r="DG254" s="14"/>
      <c r="DH254" s="14"/>
      <c r="DI254" s="14"/>
      <c r="DJ254" s="14"/>
      <c r="DK254" s="14"/>
      <c r="DL254" s="14"/>
      <c r="DM254" s="14"/>
      <c r="DN254" s="14"/>
      <c r="DO254" s="14"/>
      <c r="DP254" s="14"/>
      <c r="DQ254" s="14"/>
      <c r="DR254" s="14"/>
      <c r="DS254" s="14"/>
      <c r="DT254" s="14"/>
    </row>
    <row r="255" spans="1:124">
      <c r="A255" s="14"/>
      <c r="B255" s="14"/>
      <c r="C255" s="14"/>
      <c r="D255" s="14"/>
      <c r="E255" s="14"/>
      <c r="F255" s="14"/>
      <c r="G255" s="14"/>
      <c r="H255" s="14"/>
      <c r="I255" s="14"/>
      <c r="J255" s="14"/>
      <c r="K255" s="14"/>
      <c r="L255" s="14"/>
      <c r="M255" s="14"/>
      <c r="N255" s="14"/>
      <c r="O255" s="14"/>
      <c r="P255" s="14"/>
      <c r="Q255" s="82"/>
      <c r="R255" s="82"/>
      <c r="S255" s="82"/>
      <c r="T255" s="82"/>
      <c r="U255" s="82"/>
      <c r="V255" s="82"/>
      <c r="W255" s="82"/>
      <c r="X255" s="82"/>
      <c r="Y255" s="82"/>
      <c r="Z255" s="82"/>
      <c r="AA255" s="82"/>
      <c r="AB255" s="82"/>
      <c r="AC255" s="82"/>
      <c r="AD255" s="82"/>
      <c r="AE255" s="82"/>
      <c r="AF255" s="82"/>
      <c r="AG255" s="82"/>
      <c r="AH255" s="82"/>
      <c r="AI255" s="82"/>
      <c r="AJ255" s="82"/>
      <c r="AK255" s="82"/>
      <c r="AL255" s="82"/>
      <c r="AM255" s="82"/>
      <c r="AN255" s="82"/>
      <c r="AO255" s="82"/>
      <c r="AP255" s="82"/>
      <c r="AQ255" s="82"/>
      <c r="AR255" s="82"/>
      <c r="AS255" s="82"/>
      <c r="AT255" s="82"/>
      <c r="AU255" s="82"/>
      <c r="AV255" s="82"/>
      <c r="AW255" s="82"/>
      <c r="AX255" s="82"/>
      <c r="AY255" s="82"/>
      <c r="AZ255" s="82"/>
      <c r="BA255" s="82"/>
      <c r="BB255" s="82"/>
      <c r="BC255" s="82"/>
      <c r="BD255" s="82"/>
      <c r="BE255" s="82"/>
      <c r="BF255" s="82"/>
      <c r="BG255" s="82"/>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c r="CL255" s="14"/>
      <c r="CM255" s="14"/>
      <c r="CN255" s="14"/>
      <c r="CO255" s="14"/>
      <c r="CP255" s="14"/>
      <c r="CQ255" s="14"/>
      <c r="CR255" s="14"/>
      <c r="CS255" s="14"/>
      <c r="CT255" s="14"/>
      <c r="CU255" s="14"/>
      <c r="CV255" s="14"/>
      <c r="CW255" s="14"/>
      <c r="CX255" s="14"/>
      <c r="CY255" s="14"/>
      <c r="CZ255" s="14"/>
      <c r="DA255" s="14"/>
      <c r="DB255" s="14"/>
      <c r="DC255" s="14"/>
      <c r="DD255" s="14"/>
      <c r="DE255" s="14"/>
      <c r="DF255" s="14"/>
      <c r="DG255" s="14"/>
      <c r="DH255" s="14"/>
      <c r="DI255" s="14"/>
      <c r="DJ255" s="14"/>
      <c r="DK255" s="14"/>
      <c r="DL255" s="14"/>
      <c r="DM255" s="14"/>
      <c r="DN255" s="14"/>
      <c r="DO255" s="14"/>
      <c r="DP255" s="14"/>
      <c r="DQ255" s="14"/>
      <c r="DR255" s="14"/>
      <c r="DS255" s="14"/>
      <c r="DT255" s="14"/>
    </row>
    <row r="256" spans="1:124">
      <c r="A256" s="14"/>
      <c r="B256" s="14"/>
      <c r="C256" s="14"/>
      <c r="D256" s="14"/>
      <c r="E256" s="14"/>
      <c r="F256" s="14"/>
      <c r="G256" s="14"/>
      <c r="H256" s="14"/>
      <c r="I256" s="14"/>
      <c r="J256" s="14"/>
      <c r="K256" s="14"/>
      <c r="L256" s="14"/>
      <c r="M256" s="14"/>
      <c r="N256" s="14"/>
      <c r="O256" s="14"/>
      <c r="P256" s="14"/>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c r="AN256" s="82"/>
      <c r="AO256" s="82"/>
      <c r="AP256" s="82"/>
      <c r="AQ256" s="82"/>
      <c r="AR256" s="82"/>
      <c r="AS256" s="82"/>
      <c r="AT256" s="82"/>
      <c r="AU256" s="82"/>
      <c r="AV256" s="82"/>
      <c r="AW256" s="82"/>
      <c r="AX256" s="82"/>
      <c r="AY256" s="82"/>
      <c r="AZ256" s="82"/>
      <c r="BA256" s="82"/>
      <c r="BB256" s="82"/>
      <c r="BC256" s="82"/>
      <c r="BD256" s="82"/>
      <c r="BE256" s="82"/>
      <c r="BF256" s="82"/>
      <c r="BG256" s="82"/>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c r="CM256" s="14"/>
      <c r="CN256" s="14"/>
      <c r="CO256" s="14"/>
      <c r="CP256" s="14"/>
      <c r="CQ256" s="14"/>
      <c r="CR256" s="14"/>
      <c r="CS256" s="14"/>
      <c r="CT256" s="14"/>
      <c r="CU256" s="14"/>
      <c r="CV256" s="14"/>
      <c r="CW256" s="14"/>
      <c r="CX256" s="14"/>
      <c r="CY256" s="14"/>
      <c r="CZ256" s="14"/>
      <c r="DA256" s="14"/>
      <c r="DB256" s="14"/>
      <c r="DC256" s="14"/>
      <c r="DD256" s="14"/>
      <c r="DE256" s="14"/>
      <c r="DF256" s="14"/>
      <c r="DG256" s="14"/>
      <c r="DH256" s="14"/>
      <c r="DI256" s="14"/>
      <c r="DJ256" s="14"/>
      <c r="DK256" s="14"/>
      <c r="DL256" s="14"/>
      <c r="DM256" s="14"/>
      <c r="DN256" s="14"/>
      <c r="DO256" s="14"/>
      <c r="DP256" s="14"/>
      <c r="DQ256" s="14"/>
      <c r="DR256" s="14"/>
      <c r="DS256" s="14"/>
      <c r="DT256" s="14"/>
    </row>
    <row r="257" spans="1:124">
      <c r="A257" s="14"/>
      <c r="B257" s="14"/>
      <c r="C257" s="14"/>
      <c r="D257" s="14"/>
      <c r="E257" s="14"/>
      <c r="F257" s="14"/>
      <c r="G257" s="14"/>
      <c r="H257" s="14"/>
      <c r="I257" s="14"/>
      <c r="J257" s="14"/>
      <c r="K257" s="14"/>
      <c r="L257" s="14"/>
      <c r="M257" s="14"/>
      <c r="N257" s="14"/>
      <c r="O257" s="14"/>
      <c r="P257" s="14"/>
      <c r="Q257" s="82"/>
      <c r="R257" s="82"/>
      <c r="S257" s="82"/>
      <c r="T257" s="82"/>
      <c r="U257" s="82"/>
      <c r="V257" s="82"/>
      <c r="W257" s="82"/>
      <c r="X257" s="82"/>
      <c r="Y257" s="82"/>
      <c r="Z257" s="82"/>
      <c r="AA257" s="82"/>
      <c r="AB257" s="82"/>
      <c r="AC257" s="82"/>
      <c r="AD257" s="82"/>
      <c r="AE257" s="82"/>
      <c r="AF257" s="82"/>
      <c r="AG257" s="82"/>
      <c r="AH257" s="82"/>
      <c r="AI257" s="82"/>
      <c r="AJ257" s="82"/>
      <c r="AK257" s="82"/>
      <c r="AL257" s="82"/>
      <c r="AM257" s="82"/>
      <c r="AN257" s="82"/>
      <c r="AO257" s="82"/>
      <c r="AP257" s="82"/>
      <c r="AQ257" s="82"/>
      <c r="AR257" s="82"/>
      <c r="AS257" s="82"/>
      <c r="AT257" s="82"/>
      <c r="AU257" s="82"/>
      <c r="AV257" s="82"/>
      <c r="AW257" s="82"/>
      <c r="AX257" s="82"/>
      <c r="AY257" s="82"/>
      <c r="AZ257" s="82"/>
      <c r="BA257" s="82"/>
      <c r="BB257" s="82"/>
      <c r="BC257" s="82"/>
      <c r="BD257" s="82"/>
      <c r="BE257" s="82"/>
      <c r="BF257" s="82"/>
      <c r="BG257" s="82"/>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c r="CM257" s="14"/>
      <c r="CN257" s="14"/>
      <c r="CO257" s="14"/>
      <c r="CP257" s="14"/>
      <c r="CQ257" s="14"/>
      <c r="CR257" s="14"/>
      <c r="CS257" s="14"/>
      <c r="CT257" s="14"/>
      <c r="CU257" s="14"/>
      <c r="CV257" s="14"/>
      <c r="CW257" s="14"/>
      <c r="CX257" s="14"/>
      <c r="CY257" s="14"/>
      <c r="CZ257" s="14"/>
      <c r="DA257" s="14"/>
      <c r="DB257" s="14"/>
      <c r="DC257" s="14"/>
      <c r="DD257" s="14"/>
      <c r="DE257" s="14"/>
      <c r="DF257" s="14"/>
      <c r="DG257" s="14"/>
      <c r="DH257" s="14"/>
      <c r="DI257" s="14"/>
      <c r="DJ257" s="14"/>
      <c r="DK257" s="14"/>
      <c r="DL257" s="14"/>
      <c r="DM257" s="14"/>
      <c r="DN257" s="14"/>
      <c r="DO257" s="14"/>
      <c r="DP257" s="14"/>
      <c r="DQ257" s="14"/>
      <c r="DR257" s="14"/>
      <c r="DS257" s="14"/>
      <c r="DT257" s="14"/>
    </row>
    <row r="258" spans="1:124">
      <c r="A258" s="14"/>
      <c r="B258" s="14"/>
      <c r="C258" s="14"/>
      <c r="D258" s="14"/>
      <c r="E258" s="14"/>
      <c r="F258" s="14"/>
      <c r="G258" s="14"/>
      <c r="H258" s="14"/>
      <c r="I258" s="14"/>
      <c r="J258" s="14"/>
      <c r="K258" s="14"/>
      <c r="L258" s="14"/>
      <c r="M258" s="14"/>
      <c r="N258" s="14"/>
      <c r="O258" s="14"/>
      <c r="P258" s="14"/>
      <c r="Q258" s="82"/>
      <c r="R258" s="82"/>
      <c r="S258" s="82"/>
      <c r="T258" s="82"/>
      <c r="U258" s="82"/>
      <c r="V258" s="82"/>
      <c r="W258" s="82"/>
      <c r="X258" s="82"/>
      <c r="Y258" s="82"/>
      <c r="Z258" s="82"/>
      <c r="AA258" s="82"/>
      <c r="AB258" s="82"/>
      <c r="AC258" s="82"/>
      <c r="AD258" s="82"/>
      <c r="AE258" s="82"/>
      <c r="AF258" s="82"/>
      <c r="AG258" s="82"/>
      <c r="AH258" s="82"/>
      <c r="AI258" s="82"/>
      <c r="AJ258" s="82"/>
      <c r="AK258" s="82"/>
      <c r="AL258" s="82"/>
      <c r="AM258" s="82"/>
      <c r="AN258" s="82"/>
      <c r="AO258" s="82"/>
      <c r="AP258" s="82"/>
      <c r="AQ258" s="82"/>
      <c r="AR258" s="82"/>
      <c r="AS258" s="82"/>
      <c r="AT258" s="82"/>
      <c r="AU258" s="82"/>
      <c r="AV258" s="82"/>
      <c r="AW258" s="82"/>
      <c r="AX258" s="82"/>
      <c r="AY258" s="82"/>
      <c r="AZ258" s="82"/>
      <c r="BA258" s="82"/>
      <c r="BB258" s="82"/>
      <c r="BC258" s="82"/>
      <c r="BD258" s="82"/>
      <c r="BE258" s="82"/>
      <c r="BF258" s="82"/>
      <c r="BG258" s="82"/>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c r="CL258" s="14"/>
      <c r="CM258" s="14"/>
      <c r="CN258" s="14"/>
      <c r="CO258" s="14"/>
      <c r="CP258" s="14"/>
      <c r="CQ258" s="14"/>
      <c r="CR258" s="14"/>
      <c r="CS258" s="14"/>
      <c r="CT258" s="14"/>
      <c r="CU258" s="14"/>
      <c r="CV258" s="14"/>
      <c r="CW258" s="14"/>
      <c r="CX258" s="14"/>
      <c r="CY258" s="14"/>
      <c r="CZ258" s="14"/>
      <c r="DA258" s="14"/>
      <c r="DB258" s="14"/>
      <c r="DC258" s="14"/>
      <c r="DD258" s="14"/>
      <c r="DE258" s="14"/>
      <c r="DF258" s="14"/>
      <c r="DG258" s="14"/>
      <c r="DH258" s="14"/>
      <c r="DI258" s="14"/>
      <c r="DJ258" s="14"/>
      <c r="DK258" s="14"/>
      <c r="DL258" s="14"/>
      <c r="DM258" s="14"/>
      <c r="DN258" s="14"/>
      <c r="DO258" s="14"/>
      <c r="DP258" s="14"/>
      <c r="DQ258" s="14"/>
      <c r="DR258" s="14"/>
      <c r="DS258" s="14"/>
      <c r="DT258" s="14"/>
    </row>
    <row r="259" spans="1:124">
      <c r="A259" s="14"/>
      <c r="B259" s="14"/>
      <c r="C259" s="14"/>
      <c r="D259" s="14"/>
      <c r="E259" s="14"/>
      <c r="F259" s="14"/>
      <c r="G259" s="14"/>
      <c r="H259" s="14"/>
      <c r="I259" s="14"/>
      <c r="J259" s="14"/>
      <c r="K259" s="14"/>
      <c r="L259" s="14"/>
      <c r="M259" s="14"/>
      <c r="N259" s="14"/>
      <c r="O259" s="14"/>
      <c r="P259" s="14"/>
      <c r="Q259" s="82"/>
      <c r="R259" s="82"/>
      <c r="S259" s="82"/>
      <c r="T259" s="82"/>
      <c r="U259" s="82"/>
      <c r="V259" s="82"/>
      <c r="W259" s="82"/>
      <c r="X259" s="82"/>
      <c r="Y259" s="82"/>
      <c r="Z259" s="82"/>
      <c r="AA259" s="82"/>
      <c r="AB259" s="82"/>
      <c r="AC259" s="82"/>
      <c r="AD259" s="82"/>
      <c r="AE259" s="82"/>
      <c r="AF259" s="82"/>
      <c r="AG259" s="82"/>
      <c r="AH259" s="82"/>
      <c r="AI259" s="82"/>
      <c r="AJ259" s="82"/>
      <c r="AK259" s="82"/>
      <c r="AL259" s="82"/>
      <c r="AM259" s="82"/>
      <c r="AN259" s="82"/>
      <c r="AO259" s="82"/>
      <c r="AP259" s="82"/>
      <c r="AQ259" s="82"/>
      <c r="AR259" s="82"/>
      <c r="AS259" s="82"/>
      <c r="AT259" s="82"/>
      <c r="AU259" s="82"/>
      <c r="AV259" s="82"/>
      <c r="AW259" s="82"/>
      <c r="AX259" s="82"/>
      <c r="AY259" s="82"/>
      <c r="AZ259" s="82"/>
      <c r="BA259" s="82"/>
      <c r="BB259" s="82"/>
      <c r="BC259" s="82"/>
      <c r="BD259" s="82"/>
      <c r="BE259" s="82"/>
      <c r="BF259" s="82"/>
      <c r="BG259" s="82"/>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c r="CH259" s="14"/>
      <c r="CI259" s="14"/>
      <c r="CJ259" s="14"/>
      <c r="CK259" s="14"/>
      <c r="CL259" s="14"/>
      <c r="CM259" s="14"/>
      <c r="CN259" s="14"/>
      <c r="CO259" s="14"/>
      <c r="CP259" s="14"/>
      <c r="CQ259" s="14"/>
      <c r="CR259" s="14"/>
      <c r="CS259" s="14"/>
      <c r="CT259" s="14"/>
      <c r="CU259" s="14"/>
      <c r="CV259" s="14"/>
      <c r="CW259" s="14"/>
      <c r="CX259" s="14"/>
      <c r="CY259" s="14"/>
      <c r="CZ259" s="14"/>
      <c r="DA259" s="14"/>
      <c r="DB259" s="14"/>
      <c r="DC259" s="14"/>
      <c r="DD259" s="14"/>
      <c r="DE259" s="14"/>
      <c r="DF259" s="14"/>
      <c r="DG259" s="14"/>
      <c r="DH259" s="14"/>
      <c r="DI259" s="14"/>
      <c r="DJ259" s="14"/>
      <c r="DK259" s="14"/>
      <c r="DL259" s="14"/>
      <c r="DM259" s="14"/>
      <c r="DN259" s="14"/>
      <c r="DO259" s="14"/>
      <c r="DP259" s="14"/>
      <c r="DQ259" s="14"/>
      <c r="DR259" s="14"/>
      <c r="DS259" s="14"/>
      <c r="DT259" s="14"/>
    </row>
    <row r="260" spans="1:124">
      <c r="A260" s="14"/>
      <c r="B260" s="14"/>
      <c r="C260" s="14"/>
      <c r="D260" s="14"/>
      <c r="E260" s="14"/>
      <c r="F260" s="14"/>
      <c r="G260" s="14"/>
      <c r="H260" s="14"/>
      <c r="I260" s="14"/>
      <c r="J260" s="14"/>
      <c r="K260" s="14"/>
      <c r="L260" s="14"/>
      <c r="M260" s="14"/>
      <c r="N260" s="14"/>
      <c r="O260" s="14"/>
      <c r="P260" s="14"/>
      <c r="Q260" s="82"/>
      <c r="R260" s="82"/>
      <c r="S260" s="82"/>
      <c r="T260" s="82"/>
      <c r="U260" s="82"/>
      <c r="V260" s="82"/>
      <c r="W260" s="82"/>
      <c r="X260" s="82"/>
      <c r="Y260" s="82"/>
      <c r="Z260" s="82"/>
      <c r="AA260" s="82"/>
      <c r="AB260" s="82"/>
      <c r="AC260" s="82"/>
      <c r="AD260" s="82"/>
      <c r="AE260" s="82"/>
      <c r="AF260" s="82"/>
      <c r="AG260" s="82"/>
      <c r="AH260" s="82"/>
      <c r="AI260" s="82"/>
      <c r="AJ260" s="82"/>
      <c r="AK260" s="82"/>
      <c r="AL260" s="82"/>
      <c r="AM260" s="82"/>
      <c r="AN260" s="82"/>
      <c r="AO260" s="82"/>
      <c r="AP260" s="82"/>
      <c r="AQ260" s="82"/>
      <c r="AR260" s="82"/>
      <c r="AS260" s="82"/>
      <c r="AT260" s="82"/>
      <c r="AU260" s="82"/>
      <c r="AV260" s="82"/>
      <c r="AW260" s="82"/>
      <c r="AX260" s="82"/>
      <c r="AY260" s="82"/>
      <c r="AZ260" s="82"/>
      <c r="BA260" s="82"/>
      <c r="BB260" s="82"/>
      <c r="BC260" s="82"/>
      <c r="BD260" s="82"/>
      <c r="BE260" s="82"/>
      <c r="BF260" s="82"/>
      <c r="BG260" s="82"/>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c r="CL260" s="14"/>
      <c r="CM260" s="14"/>
      <c r="CN260" s="14"/>
      <c r="CO260" s="14"/>
      <c r="CP260" s="14"/>
      <c r="CQ260" s="14"/>
      <c r="CR260" s="14"/>
      <c r="CS260" s="14"/>
      <c r="CT260" s="14"/>
      <c r="CU260" s="14"/>
      <c r="CV260" s="14"/>
      <c r="CW260" s="14"/>
      <c r="CX260" s="14"/>
      <c r="CY260" s="14"/>
      <c r="CZ260" s="14"/>
      <c r="DA260" s="14"/>
      <c r="DB260" s="14"/>
      <c r="DC260" s="14"/>
      <c r="DD260" s="14"/>
      <c r="DE260" s="14"/>
      <c r="DF260" s="14"/>
      <c r="DG260" s="14"/>
      <c r="DH260" s="14"/>
      <c r="DI260" s="14"/>
      <c r="DJ260" s="14"/>
      <c r="DK260" s="14"/>
      <c r="DL260" s="14"/>
      <c r="DM260" s="14"/>
      <c r="DN260" s="14"/>
      <c r="DO260" s="14"/>
      <c r="DP260" s="14"/>
      <c r="DQ260" s="14"/>
      <c r="DR260" s="14"/>
      <c r="DS260" s="14"/>
      <c r="DT260" s="14"/>
    </row>
    <row r="261" spans="1:124">
      <c r="A261" s="14"/>
      <c r="B261" s="14"/>
      <c r="C261" s="14"/>
      <c r="D261" s="14"/>
      <c r="E261" s="14"/>
      <c r="F261" s="14"/>
      <c r="G261" s="14"/>
      <c r="H261" s="14"/>
      <c r="I261" s="14"/>
      <c r="J261" s="14"/>
      <c r="K261" s="14"/>
      <c r="L261" s="14"/>
      <c r="M261" s="14"/>
      <c r="N261" s="14"/>
      <c r="O261" s="14"/>
      <c r="P261" s="14"/>
      <c r="Q261" s="82"/>
      <c r="R261" s="82"/>
      <c r="S261" s="82"/>
      <c r="T261" s="82"/>
      <c r="U261" s="82"/>
      <c r="V261" s="82"/>
      <c r="W261" s="82"/>
      <c r="X261" s="82"/>
      <c r="Y261" s="82"/>
      <c r="Z261" s="82"/>
      <c r="AA261" s="82"/>
      <c r="AB261" s="82"/>
      <c r="AC261" s="82"/>
      <c r="AD261" s="82"/>
      <c r="AE261" s="82"/>
      <c r="AF261" s="82"/>
      <c r="AG261" s="82"/>
      <c r="AH261" s="82"/>
      <c r="AI261" s="82"/>
      <c r="AJ261" s="82"/>
      <c r="AK261" s="82"/>
      <c r="AL261" s="82"/>
      <c r="AM261" s="82"/>
      <c r="AN261" s="82"/>
      <c r="AO261" s="82"/>
      <c r="AP261" s="82"/>
      <c r="AQ261" s="82"/>
      <c r="AR261" s="82"/>
      <c r="AS261" s="82"/>
      <c r="AT261" s="82"/>
      <c r="AU261" s="82"/>
      <c r="AV261" s="82"/>
      <c r="AW261" s="82"/>
      <c r="AX261" s="82"/>
      <c r="AY261" s="82"/>
      <c r="AZ261" s="82"/>
      <c r="BA261" s="82"/>
      <c r="BB261" s="82"/>
      <c r="BC261" s="82"/>
      <c r="BD261" s="82"/>
      <c r="BE261" s="82"/>
      <c r="BF261" s="82"/>
      <c r="BG261" s="82"/>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c r="CL261" s="14"/>
      <c r="CM261" s="14"/>
      <c r="CN261" s="14"/>
      <c r="CO261" s="14"/>
      <c r="CP261" s="14"/>
      <c r="CQ261" s="14"/>
      <c r="CR261" s="14"/>
      <c r="CS261" s="14"/>
      <c r="CT261" s="14"/>
      <c r="CU261" s="14"/>
      <c r="CV261" s="14"/>
      <c r="CW261" s="14"/>
      <c r="CX261" s="14"/>
      <c r="CY261" s="14"/>
      <c r="CZ261" s="14"/>
      <c r="DA261" s="14"/>
      <c r="DB261" s="14"/>
      <c r="DC261" s="14"/>
      <c r="DD261" s="14"/>
      <c r="DE261" s="14"/>
      <c r="DF261" s="14"/>
      <c r="DG261" s="14"/>
      <c r="DH261" s="14"/>
      <c r="DI261" s="14"/>
      <c r="DJ261" s="14"/>
      <c r="DK261" s="14"/>
      <c r="DL261" s="14"/>
      <c r="DM261" s="14"/>
      <c r="DN261" s="14"/>
      <c r="DO261" s="14"/>
      <c r="DP261" s="14"/>
      <c r="DQ261" s="14"/>
      <c r="DR261" s="14"/>
      <c r="DS261" s="14"/>
      <c r="DT261" s="14"/>
    </row>
    <row r="262" spans="1:124">
      <c r="A262" s="14"/>
      <c r="B262" s="14"/>
      <c r="C262" s="14"/>
      <c r="D262" s="14"/>
      <c r="E262" s="14"/>
      <c r="F262" s="14"/>
      <c r="G262" s="14"/>
      <c r="H262" s="14"/>
      <c r="I262" s="14"/>
      <c r="J262" s="14"/>
      <c r="K262" s="14"/>
      <c r="L262" s="14"/>
      <c r="M262" s="14"/>
      <c r="N262" s="14"/>
      <c r="O262" s="14"/>
      <c r="P262" s="14"/>
      <c r="Q262" s="82"/>
      <c r="R262" s="82"/>
      <c r="S262" s="82"/>
      <c r="T262" s="82"/>
      <c r="U262" s="82"/>
      <c r="V262" s="82"/>
      <c r="W262" s="82"/>
      <c r="X262" s="82"/>
      <c r="Y262" s="82"/>
      <c r="Z262" s="82"/>
      <c r="AA262" s="82"/>
      <c r="AB262" s="82"/>
      <c r="AC262" s="82"/>
      <c r="AD262" s="82"/>
      <c r="AE262" s="82"/>
      <c r="AF262" s="82"/>
      <c r="AG262" s="82"/>
      <c r="AH262" s="82"/>
      <c r="AI262" s="82"/>
      <c r="AJ262" s="82"/>
      <c r="AK262" s="82"/>
      <c r="AL262" s="82"/>
      <c r="AM262" s="82"/>
      <c r="AN262" s="82"/>
      <c r="AO262" s="82"/>
      <c r="AP262" s="82"/>
      <c r="AQ262" s="82"/>
      <c r="AR262" s="82"/>
      <c r="AS262" s="82"/>
      <c r="AT262" s="82"/>
      <c r="AU262" s="82"/>
      <c r="AV262" s="82"/>
      <c r="AW262" s="82"/>
      <c r="AX262" s="82"/>
      <c r="AY262" s="82"/>
      <c r="AZ262" s="82"/>
      <c r="BA262" s="82"/>
      <c r="BB262" s="82"/>
      <c r="BC262" s="82"/>
      <c r="BD262" s="82"/>
      <c r="BE262" s="82"/>
      <c r="BF262" s="82"/>
      <c r="BG262" s="82"/>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c r="CL262" s="14"/>
      <c r="CM262" s="14"/>
      <c r="CN262" s="14"/>
      <c r="CO262" s="14"/>
      <c r="CP262" s="14"/>
      <c r="CQ262" s="14"/>
      <c r="CR262" s="14"/>
      <c r="CS262" s="14"/>
      <c r="CT262" s="14"/>
      <c r="CU262" s="14"/>
      <c r="CV262" s="14"/>
      <c r="CW262" s="14"/>
      <c r="CX262" s="14"/>
      <c r="CY262" s="14"/>
      <c r="CZ262" s="14"/>
      <c r="DA262" s="14"/>
      <c r="DB262" s="14"/>
      <c r="DC262" s="14"/>
      <c r="DD262" s="14"/>
      <c r="DE262" s="14"/>
      <c r="DF262" s="14"/>
      <c r="DG262" s="14"/>
      <c r="DH262" s="14"/>
      <c r="DI262" s="14"/>
      <c r="DJ262" s="14"/>
      <c r="DK262" s="14"/>
      <c r="DL262" s="14"/>
      <c r="DM262" s="14"/>
      <c r="DN262" s="14"/>
      <c r="DO262" s="14"/>
      <c r="DP262" s="14"/>
      <c r="DQ262" s="14"/>
      <c r="DR262" s="14"/>
      <c r="DS262" s="14"/>
      <c r="DT262" s="14"/>
    </row>
    <row r="263" spans="1:124">
      <c r="A263" s="14"/>
      <c r="B263" s="14"/>
      <c r="C263" s="14"/>
      <c r="D263" s="14"/>
      <c r="E263" s="14"/>
      <c r="F263" s="14"/>
      <c r="G263" s="14"/>
      <c r="H263" s="14"/>
      <c r="I263" s="14"/>
      <c r="J263" s="14"/>
      <c r="K263" s="14"/>
      <c r="L263" s="14"/>
      <c r="M263" s="14"/>
      <c r="N263" s="14"/>
      <c r="O263" s="14"/>
      <c r="P263" s="14"/>
      <c r="Q263" s="82"/>
      <c r="R263" s="82"/>
      <c r="S263" s="82"/>
      <c r="T263" s="82"/>
      <c r="U263" s="82"/>
      <c r="V263" s="82"/>
      <c r="W263" s="82"/>
      <c r="X263" s="82"/>
      <c r="Y263" s="82"/>
      <c r="Z263" s="82"/>
      <c r="AA263" s="82"/>
      <c r="AB263" s="82"/>
      <c r="AC263" s="82"/>
      <c r="AD263" s="82"/>
      <c r="AE263" s="82"/>
      <c r="AF263" s="82"/>
      <c r="AG263" s="82"/>
      <c r="AH263" s="82"/>
      <c r="AI263" s="82"/>
      <c r="AJ263" s="82"/>
      <c r="AK263" s="82"/>
      <c r="AL263" s="82"/>
      <c r="AM263" s="82"/>
      <c r="AN263" s="82"/>
      <c r="AO263" s="82"/>
      <c r="AP263" s="82"/>
      <c r="AQ263" s="82"/>
      <c r="AR263" s="82"/>
      <c r="AS263" s="82"/>
      <c r="AT263" s="82"/>
      <c r="AU263" s="82"/>
      <c r="AV263" s="82"/>
      <c r="AW263" s="82"/>
      <c r="AX263" s="82"/>
      <c r="AY263" s="82"/>
      <c r="AZ263" s="82"/>
      <c r="BA263" s="82"/>
      <c r="BB263" s="82"/>
      <c r="BC263" s="82"/>
      <c r="BD263" s="82"/>
      <c r="BE263" s="82"/>
      <c r="BF263" s="82"/>
      <c r="BG263" s="82"/>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c r="CL263" s="14"/>
      <c r="CM263" s="14"/>
      <c r="CN263" s="14"/>
      <c r="CO263" s="14"/>
      <c r="CP263" s="14"/>
      <c r="CQ263" s="14"/>
      <c r="CR263" s="14"/>
      <c r="CS263" s="14"/>
      <c r="CT263" s="14"/>
      <c r="CU263" s="14"/>
      <c r="CV263" s="14"/>
      <c r="CW263" s="14"/>
      <c r="CX263" s="14"/>
      <c r="CY263" s="14"/>
      <c r="CZ263" s="14"/>
      <c r="DA263" s="14"/>
      <c r="DB263" s="14"/>
      <c r="DC263" s="14"/>
      <c r="DD263" s="14"/>
      <c r="DE263" s="14"/>
      <c r="DF263" s="14"/>
      <c r="DG263" s="14"/>
      <c r="DH263" s="14"/>
      <c r="DI263" s="14"/>
      <c r="DJ263" s="14"/>
      <c r="DK263" s="14"/>
      <c r="DL263" s="14"/>
      <c r="DM263" s="14"/>
      <c r="DN263" s="14"/>
      <c r="DO263" s="14"/>
      <c r="DP263" s="14"/>
      <c r="DQ263" s="14"/>
      <c r="DR263" s="14"/>
      <c r="DS263" s="14"/>
      <c r="DT263" s="14"/>
    </row>
    <row r="264" spans="1:124">
      <c r="A264" s="14"/>
      <c r="B264" s="14"/>
      <c r="C264" s="14"/>
      <c r="D264" s="14"/>
      <c r="E264" s="14"/>
      <c r="F264" s="14"/>
      <c r="G264" s="14"/>
      <c r="H264" s="14"/>
      <c r="I264" s="14"/>
      <c r="J264" s="14"/>
      <c r="K264" s="14"/>
      <c r="L264" s="14"/>
      <c r="M264" s="14"/>
      <c r="N264" s="14"/>
      <c r="O264" s="14"/>
      <c r="P264" s="14"/>
      <c r="Q264" s="82"/>
      <c r="R264" s="82"/>
      <c r="S264" s="82"/>
      <c r="T264" s="82"/>
      <c r="U264" s="82"/>
      <c r="V264" s="82"/>
      <c r="W264" s="82"/>
      <c r="X264" s="82"/>
      <c r="Y264" s="82"/>
      <c r="Z264" s="82"/>
      <c r="AA264" s="82"/>
      <c r="AB264" s="82"/>
      <c r="AC264" s="82"/>
      <c r="AD264" s="82"/>
      <c r="AE264" s="82"/>
      <c r="AF264" s="82"/>
      <c r="AG264" s="82"/>
      <c r="AH264" s="82"/>
      <c r="AI264" s="82"/>
      <c r="AJ264" s="82"/>
      <c r="AK264" s="82"/>
      <c r="AL264" s="82"/>
      <c r="AM264" s="82"/>
      <c r="AN264" s="82"/>
      <c r="AO264" s="82"/>
      <c r="AP264" s="82"/>
      <c r="AQ264" s="82"/>
      <c r="AR264" s="82"/>
      <c r="AS264" s="82"/>
      <c r="AT264" s="82"/>
      <c r="AU264" s="82"/>
      <c r="AV264" s="82"/>
      <c r="AW264" s="82"/>
      <c r="AX264" s="82"/>
      <c r="AY264" s="82"/>
      <c r="AZ264" s="82"/>
      <c r="BA264" s="82"/>
      <c r="BB264" s="82"/>
      <c r="BC264" s="82"/>
      <c r="BD264" s="82"/>
      <c r="BE264" s="82"/>
      <c r="BF264" s="82"/>
      <c r="BG264" s="82"/>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c r="CH264" s="14"/>
      <c r="CI264" s="14"/>
      <c r="CJ264" s="14"/>
      <c r="CK264" s="14"/>
      <c r="CL264" s="14"/>
      <c r="CM264" s="14"/>
      <c r="CN264" s="14"/>
      <c r="CO264" s="14"/>
      <c r="CP264" s="14"/>
      <c r="CQ264" s="14"/>
      <c r="CR264" s="14"/>
      <c r="CS264" s="14"/>
      <c r="CT264" s="14"/>
      <c r="CU264" s="14"/>
      <c r="CV264" s="14"/>
      <c r="CW264" s="14"/>
      <c r="CX264" s="14"/>
      <c r="CY264" s="14"/>
      <c r="CZ264" s="14"/>
      <c r="DA264" s="14"/>
      <c r="DB264" s="14"/>
      <c r="DC264" s="14"/>
      <c r="DD264" s="14"/>
      <c r="DE264" s="14"/>
      <c r="DF264" s="14"/>
      <c r="DG264" s="14"/>
      <c r="DH264" s="14"/>
      <c r="DI264" s="14"/>
      <c r="DJ264" s="14"/>
      <c r="DK264" s="14"/>
      <c r="DL264" s="14"/>
      <c r="DM264" s="14"/>
      <c r="DN264" s="14"/>
      <c r="DO264" s="14"/>
      <c r="DP264" s="14"/>
      <c r="DQ264" s="14"/>
      <c r="DR264" s="14"/>
      <c r="DS264" s="14"/>
      <c r="DT264" s="14"/>
    </row>
    <row r="265" spans="1:124">
      <c r="A265" s="14"/>
      <c r="B265" s="14"/>
      <c r="C265" s="14"/>
      <c r="D265" s="14"/>
      <c r="E265" s="14"/>
      <c r="F265" s="14"/>
      <c r="G265" s="14"/>
      <c r="H265" s="14"/>
      <c r="I265" s="14"/>
      <c r="J265" s="14"/>
      <c r="K265" s="14"/>
      <c r="L265" s="14"/>
      <c r="M265" s="14"/>
      <c r="N265" s="14"/>
      <c r="O265" s="14"/>
      <c r="P265" s="14"/>
      <c r="Q265" s="82"/>
      <c r="R265" s="82"/>
      <c r="S265" s="82"/>
      <c r="T265" s="82"/>
      <c r="U265" s="82"/>
      <c r="V265" s="82"/>
      <c r="W265" s="82"/>
      <c r="X265" s="82"/>
      <c r="Y265" s="82"/>
      <c r="Z265" s="82"/>
      <c r="AA265" s="82"/>
      <c r="AB265" s="82"/>
      <c r="AC265" s="82"/>
      <c r="AD265" s="82"/>
      <c r="AE265" s="82"/>
      <c r="AF265" s="82"/>
      <c r="AG265" s="82"/>
      <c r="AH265" s="82"/>
      <c r="AI265" s="82"/>
      <c r="AJ265" s="82"/>
      <c r="AK265" s="82"/>
      <c r="AL265" s="82"/>
      <c r="AM265" s="82"/>
      <c r="AN265" s="82"/>
      <c r="AO265" s="82"/>
      <c r="AP265" s="82"/>
      <c r="AQ265" s="82"/>
      <c r="AR265" s="82"/>
      <c r="AS265" s="82"/>
      <c r="AT265" s="82"/>
      <c r="AU265" s="82"/>
      <c r="AV265" s="82"/>
      <c r="AW265" s="82"/>
      <c r="AX265" s="82"/>
      <c r="AY265" s="82"/>
      <c r="AZ265" s="82"/>
      <c r="BA265" s="82"/>
      <c r="BB265" s="82"/>
      <c r="BC265" s="82"/>
      <c r="BD265" s="82"/>
      <c r="BE265" s="82"/>
      <c r="BF265" s="82"/>
      <c r="BG265" s="82"/>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c r="CL265" s="14"/>
      <c r="CM265" s="14"/>
      <c r="CN265" s="14"/>
      <c r="CO265" s="14"/>
      <c r="CP265" s="14"/>
      <c r="CQ265" s="14"/>
      <c r="CR265" s="14"/>
      <c r="CS265" s="14"/>
      <c r="CT265" s="14"/>
      <c r="CU265" s="14"/>
      <c r="CV265" s="14"/>
      <c r="CW265" s="14"/>
      <c r="CX265" s="14"/>
      <c r="CY265" s="14"/>
      <c r="CZ265" s="14"/>
      <c r="DA265" s="14"/>
      <c r="DB265" s="14"/>
      <c r="DC265" s="14"/>
      <c r="DD265" s="14"/>
      <c r="DE265" s="14"/>
      <c r="DF265" s="14"/>
      <c r="DG265" s="14"/>
      <c r="DH265" s="14"/>
      <c r="DI265" s="14"/>
      <c r="DJ265" s="14"/>
      <c r="DK265" s="14"/>
      <c r="DL265" s="14"/>
      <c r="DM265" s="14"/>
      <c r="DN265" s="14"/>
      <c r="DO265" s="14"/>
      <c r="DP265" s="14"/>
      <c r="DQ265" s="14"/>
      <c r="DR265" s="14"/>
      <c r="DS265" s="14"/>
      <c r="DT265" s="14"/>
    </row>
    <row r="266" spans="1:124">
      <c r="A266" s="14"/>
      <c r="B266" s="14"/>
      <c r="C266" s="14"/>
      <c r="D266" s="14"/>
      <c r="E266" s="14"/>
      <c r="F266" s="14"/>
      <c r="G266" s="14"/>
      <c r="H266" s="14"/>
      <c r="I266" s="14"/>
      <c r="J266" s="14"/>
      <c r="K266" s="14"/>
      <c r="L266" s="14"/>
      <c r="M266" s="14"/>
      <c r="N266" s="14"/>
      <c r="O266" s="14"/>
      <c r="P266" s="14"/>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c r="AT266" s="82"/>
      <c r="AU266" s="82"/>
      <c r="AV266" s="82"/>
      <c r="AW266" s="82"/>
      <c r="AX266" s="82"/>
      <c r="AY266" s="82"/>
      <c r="AZ266" s="82"/>
      <c r="BA266" s="82"/>
      <c r="BB266" s="82"/>
      <c r="BC266" s="82"/>
      <c r="BD266" s="82"/>
      <c r="BE266" s="82"/>
      <c r="BF266" s="82"/>
      <c r="BG266" s="82"/>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c r="CH266" s="14"/>
      <c r="CI266" s="14"/>
      <c r="CJ266" s="14"/>
      <c r="CK266" s="14"/>
      <c r="CL266" s="14"/>
      <c r="CM266" s="14"/>
      <c r="CN266" s="14"/>
      <c r="CO266" s="14"/>
      <c r="CP266" s="14"/>
      <c r="CQ266" s="14"/>
      <c r="CR266" s="14"/>
      <c r="CS266" s="14"/>
      <c r="CT266" s="14"/>
      <c r="CU266" s="14"/>
      <c r="CV266" s="14"/>
      <c r="CW266" s="14"/>
      <c r="CX266" s="14"/>
      <c r="CY266" s="14"/>
      <c r="CZ266" s="14"/>
      <c r="DA266" s="14"/>
      <c r="DB266" s="14"/>
      <c r="DC266" s="14"/>
      <c r="DD266" s="14"/>
      <c r="DE266" s="14"/>
      <c r="DF266" s="14"/>
      <c r="DG266" s="14"/>
      <c r="DH266" s="14"/>
      <c r="DI266" s="14"/>
      <c r="DJ266" s="14"/>
      <c r="DK266" s="14"/>
      <c r="DL266" s="14"/>
      <c r="DM266" s="14"/>
      <c r="DN266" s="14"/>
      <c r="DO266" s="14"/>
      <c r="DP266" s="14"/>
      <c r="DQ266" s="14"/>
      <c r="DR266" s="14"/>
      <c r="DS266" s="14"/>
      <c r="DT266" s="14"/>
    </row>
    <row r="267" spans="1:124">
      <c r="A267" s="14"/>
      <c r="B267" s="14"/>
      <c r="C267" s="14"/>
      <c r="D267" s="14"/>
      <c r="E267" s="14"/>
      <c r="F267" s="14"/>
      <c r="G267" s="14"/>
      <c r="H267" s="14"/>
      <c r="I267" s="14"/>
      <c r="J267" s="14"/>
      <c r="K267" s="14"/>
      <c r="L267" s="14"/>
      <c r="M267" s="14"/>
      <c r="N267" s="14"/>
      <c r="O267" s="14"/>
      <c r="P267" s="14"/>
      <c r="Q267" s="82"/>
      <c r="R267" s="82"/>
      <c r="S267" s="82"/>
      <c r="T267" s="82"/>
      <c r="U267" s="82"/>
      <c r="V267" s="82"/>
      <c r="W267" s="82"/>
      <c r="X267" s="82"/>
      <c r="Y267" s="82"/>
      <c r="Z267" s="82"/>
      <c r="AA267" s="82"/>
      <c r="AB267" s="82"/>
      <c r="AC267" s="82"/>
      <c r="AD267" s="82"/>
      <c r="AE267" s="82"/>
      <c r="AF267" s="82"/>
      <c r="AG267" s="82"/>
      <c r="AH267" s="82"/>
      <c r="AI267" s="82"/>
      <c r="AJ267" s="82"/>
      <c r="AK267" s="82"/>
      <c r="AL267" s="82"/>
      <c r="AM267" s="82"/>
      <c r="AN267" s="82"/>
      <c r="AO267" s="82"/>
      <c r="AP267" s="82"/>
      <c r="AQ267" s="82"/>
      <c r="AR267" s="82"/>
      <c r="AS267" s="82"/>
      <c r="AT267" s="82"/>
      <c r="AU267" s="82"/>
      <c r="AV267" s="82"/>
      <c r="AW267" s="82"/>
      <c r="AX267" s="82"/>
      <c r="AY267" s="82"/>
      <c r="AZ267" s="82"/>
      <c r="BA267" s="82"/>
      <c r="BB267" s="82"/>
      <c r="BC267" s="82"/>
      <c r="BD267" s="82"/>
      <c r="BE267" s="82"/>
      <c r="BF267" s="82"/>
      <c r="BG267" s="82"/>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c r="CL267" s="14"/>
      <c r="CM267" s="14"/>
      <c r="CN267" s="14"/>
      <c r="CO267" s="14"/>
      <c r="CP267" s="14"/>
      <c r="CQ267" s="14"/>
      <c r="CR267" s="14"/>
      <c r="CS267" s="14"/>
      <c r="CT267" s="14"/>
      <c r="CU267" s="14"/>
      <c r="CV267" s="14"/>
      <c r="CW267" s="14"/>
      <c r="CX267" s="14"/>
      <c r="CY267" s="14"/>
      <c r="CZ267" s="14"/>
      <c r="DA267" s="14"/>
      <c r="DB267" s="14"/>
      <c r="DC267" s="14"/>
      <c r="DD267" s="14"/>
      <c r="DE267" s="14"/>
      <c r="DF267" s="14"/>
      <c r="DG267" s="14"/>
      <c r="DH267" s="14"/>
      <c r="DI267" s="14"/>
      <c r="DJ267" s="14"/>
      <c r="DK267" s="14"/>
      <c r="DL267" s="14"/>
      <c r="DM267" s="14"/>
      <c r="DN267" s="14"/>
      <c r="DO267" s="14"/>
      <c r="DP267" s="14"/>
      <c r="DQ267" s="14"/>
      <c r="DR267" s="14"/>
      <c r="DS267" s="14"/>
      <c r="DT267" s="14"/>
    </row>
    <row r="268" spans="1:124">
      <c r="A268" s="14"/>
      <c r="B268" s="14"/>
      <c r="C268" s="14"/>
      <c r="D268" s="14"/>
      <c r="E268" s="14"/>
      <c r="F268" s="14"/>
      <c r="G268" s="14"/>
      <c r="H268" s="14"/>
      <c r="I268" s="14"/>
      <c r="J268" s="14"/>
      <c r="K268" s="14"/>
      <c r="L268" s="14"/>
      <c r="M268" s="14"/>
      <c r="N268" s="14"/>
      <c r="O268" s="14"/>
      <c r="P268" s="14"/>
      <c r="Q268" s="82"/>
      <c r="R268" s="82"/>
      <c r="S268" s="82"/>
      <c r="T268" s="82"/>
      <c r="U268" s="82"/>
      <c r="V268" s="82"/>
      <c r="W268" s="82"/>
      <c r="X268" s="82"/>
      <c r="Y268" s="82"/>
      <c r="Z268" s="82"/>
      <c r="AA268" s="82"/>
      <c r="AB268" s="82"/>
      <c r="AC268" s="82"/>
      <c r="AD268" s="82"/>
      <c r="AE268" s="82"/>
      <c r="AF268" s="82"/>
      <c r="AG268" s="82"/>
      <c r="AH268" s="82"/>
      <c r="AI268" s="82"/>
      <c r="AJ268" s="82"/>
      <c r="AK268" s="82"/>
      <c r="AL268" s="82"/>
      <c r="AM268" s="82"/>
      <c r="AN268" s="82"/>
      <c r="AO268" s="82"/>
      <c r="AP268" s="82"/>
      <c r="AQ268" s="82"/>
      <c r="AR268" s="82"/>
      <c r="AS268" s="82"/>
      <c r="AT268" s="82"/>
      <c r="AU268" s="82"/>
      <c r="AV268" s="82"/>
      <c r="AW268" s="82"/>
      <c r="AX268" s="82"/>
      <c r="AY268" s="82"/>
      <c r="AZ268" s="82"/>
      <c r="BA268" s="82"/>
      <c r="BB268" s="82"/>
      <c r="BC268" s="82"/>
      <c r="BD268" s="82"/>
      <c r="BE268" s="82"/>
      <c r="BF268" s="82"/>
      <c r="BG268" s="82"/>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c r="CL268" s="14"/>
      <c r="CM268" s="14"/>
      <c r="CN268" s="14"/>
      <c r="CO268" s="14"/>
      <c r="CP268" s="14"/>
      <c r="CQ268" s="14"/>
      <c r="CR268" s="14"/>
      <c r="CS268" s="14"/>
      <c r="CT268" s="14"/>
      <c r="CU268" s="14"/>
      <c r="CV268" s="14"/>
      <c r="CW268" s="14"/>
      <c r="CX268" s="14"/>
      <c r="CY268" s="14"/>
      <c r="CZ268" s="14"/>
      <c r="DA268" s="14"/>
      <c r="DB268" s="14"/>
      <c r="DC268" s="14"/>
      <c r="DD268" s="14"/>
      <c r="DE268" s="14"/>
      <c r="DF268" s="14"/>
      <c r="DG268" s="14"/>
      <c r="DH268" s="14"/>
      <c r="DI268" s="14"/>
      <c r="DJ268" s="14"/>
      <c r="DK268" s="14"/>
      <c r="DL268" s="14"/>
      <c r="DM268" s="14"/>
      <c r="DN268" s="14"/>
      <c r="DO268" s="14"/>
      <c r="DP268" s="14"/>
      <c r="DQ268" s="14"/>
      <c r="DR268" s="14"/>
      <c r="DS268" s="14"/>
      <c r="DT268" s="14"/>
    </row>
    <row r="269" spans="1:124">
      <c r="A269" s="14"/>
      <c r="B269" s="14"/>
      <c r="C269" s="14"/>
      <c r="D269" s="14"/>
      <c r="E269" s="14"/>
      <c r="F269" s="14"/>
      <c r="G269" s="14"/>
      <c r="H269" s="14"/>
      <c r="I269" s="14"/>
      <c r="J269" s="14"/>
      <c r="K269" s="14"/>
      <c r="L269" s="14"/>
      <c r="M269" s="14"/>
      <c r="N269" s="14"/>
      <c r="O269" s="14"/>
      <c r="P269" s="14"/>
      <c r="Q269" s="82"/>
      <c r="R269" s="82"/>
      <c r="S269" s="82"/>
      <c r="T269" s="82"/>
      <c r="U269" s="82"/>
      <c r="V269" s="82"/>
      <c r="W269" s="82"/>
      <c r="X269" s="82"/>
      <c r="Y269" s="82"/>
      <c r="Z269" s="82"/>
      <c r="AA269" s="82"/>
      <c r="AB269" s="82"/>
      <c r="AC269" s="82"/>
      <c r="AD269" s="82"/>
      <c r="AE269" s="82"/>
      <c r="AF269" s="82"/>
      <c r="AG269" s="82"/>
      <c r="AH269" s="82"/>
      <c r="AI269" s="82"/>
      <c r="AJ269" s="82"/>
      <c r="AK269" s="82"/>
      <c r="AL269" s="82"/>
      <c r="AM269" s="82"/>
      <c r="AN269" s="82"/>
      <c r="AO269" s="82"/>
      <c r="AP269" s="82"/>
      <c r="AQ269" s="82"/>
      <c r="AR269" s="82"/>
      <c r="AS269" s="82"/>
      <c r="AT269" s="82"/>
      <c r="AU269" s="82"/>
      <c r="AV269" s="82"/>
      <c r="AW269" s="82"/>
      <c r="AX269" s="82"/>
      <c r="AY269" s="82"/>
      <c r="AZ269" s="82"/>
      <c r="BA269" s="82"/>
      <c r="BB269" s="82"/>
      <c r="BC269" s="82"/>
      <c r="BD269" s="82"/>
      <c r="BE269" s="82"/>
      <c r="BF269" s="82"/>
      <c r="BG269" s="82"/>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c r="CL269" s="14"/>
      <c r="CM269" s="14"/>
      <c r="CN269" s="14"/>
      <c r="CO269" s="14"/>
      <c r="CP269" s="14"/>
      <c r="CQ269" s="14"/>
      <c r="CR269" s="14"/>
      <c r="CS269" s="14"/>
      <c r="CT269" s="14"/>
      <c r="CU269" s="14"/>
      <c r="CV269" s="14"/>
      <c r="CW269" s="14"/>
      <c r="CX269" s="14"/>
      <c r="CY269" s="14"/>
      <c r="CZ269" s="14"/>
      <c r="DA269" s="14"/>
      <c r="DB269" s="14"/>
      <c r="DC269" s="14"/>
      <c r="DD269" s="14"/>
      <c r="DE269" s="14"/>
      <c r="DF269" s="14"/>
      <c r="DG269" s="14"/>
      <c r="DH269" s="14"/>
      <c r="DI269" s="14"/>
      <c r="DJ269" s="14"/>
      <c r="DK269" s="14"/>
      <c r="DL269" s="14"/>
      <c r="DM269" s="14"/>
      <c r="DN269" s="14"/>
      <c r="DO269" s="14"/>
      <c r="DP269" s="14"/>
      <c r="DQ269" s="14"/>
      <c r="DR269" s="14"/>
      <c r="DS269" s="14"/>
      <c r="DT269" s="14"/>
    </row>
    <row r="270" spans="1:124">
      <c r="A270" s="14"/>
      <c r="B270" s="14"/>
      <c r="C270" s="14"/>
      <c r="D270" s="14"/>
      <c r="E270" s="14"/>
      <c r="F270" s="14"/>
      <c r="G270" s="14"/>
      <c r="H270" s="14"/>
      <c r="I270" s="14"/>
      <c r="J270" s="14"/>
      <c r="K270" s="14"/>
      <c r="L270" s="14"/>
      <c r="M270" s="14"/>
      <c r="N270" s="14"/>
      <c r="O270" s="14"/>
      <c r="P270" s="14"/>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c r="AV270" s="82"/>
      <c r="AW270" s="82"/>
      <c r="AX270" s="82"/>
      <c r="AY270" s="82"/>
      <c r="AZ270" s="82"/>
      <c r="BA270" s="82"/>
      <c r="BB270" s="82"/>
      <c r="BC270" s="82"/>
      <c r="BD270" s="82"/>
      <c r="BE270" s="82"/>
      <c r="BF270" s="82"/>
      <c r="BG270" s="82"/>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c r="CL270" s="14"/>
      <c r="CM270" s="14"/>
      <c r="CN270" s="14"/>
      <c r="CO270" s="14"/>
      <c r="CP270" s="14"/>
      <c r="CQ270" s="14"/>
      <c r="CR270" s="14"/>
      <c r="CS270" s="14"/>
      <c r="CT270" s="14"/>
      <c r="CU270" s="14"/>
      <c r="CV270" s="14"/>
      <c r="CW270" s="14"/>
      <c r="CX270" s="14"/>
      <c r="CY270" s="14"/>
      <c r="CZ270" s="14"/>
      <c r="DA270" s="14"/>
      <c r="DB270" s="14"/>
      <c r="DC270" s="14"/>
      <c r="DD270" s="14"/>
      <c r="DE270" s="14"/>
      <c r="DF270" s="14"/>
      <c r="DG270" s="14"/>
      <c r="DH270" s="14"/>
      <c r="DI270" s="14"/>
      <c r="DJ270" s="14"/>
      <c r="DK270" s="14"/>
      <c r="DL270" s="14"/>
      <c r="DM270" s="14"/>
      <c r="DN270" s="14"/>
      <c r="DO270" s="14"/>
      <c r="DP270" s="14"/>
      <c r="DQ270" s="14"/>
      <c r="DR270" s="14"/>
      <c r="DS270" s="14"/>
      <c r="DT270" s="14"/>
    </row>
    <row r="271" spans="1:124">
      <c r="A271" s="14"/>
      <c r="B271" s="14"/>
      <c r="C271" s="14"/>
      <c r="D271" s="14"/>
      <c r="E271" s="14"/>
      <c r="F271" s="14"/>
      <c r="G271" s="14"/>
      <c r="H271" s="14"/>
      <c r="I271" s="14"/>
      <c r="J271" s="14"/>
      <c r="K271" s="14"/>
      <c r="L271" s="14"/>
      <c r="M271" s="14"/>
      <c r="N271" s="14"/>
      <c r="O271" s="14"/>
      <c r="P271" s="14"/>
      <c r="Q271" s="82"/>
      <c r="R271" s="82"/>
      <c r="S271" s="82"/>
      <c r="T271" s="82"/>
      <c r="U271" s="82"/>
      <c r="V271" s="82"/>
      <c r="W271" s="82"/>
      <c r="X271" s="82"/>
      <c r="Y271" s="82"/>
      <c r="Z271" s="82"/>
      <c r="AA271" s="82"/>
      <c r="AB271" s="82"/>
      <c r="AC271" s="82"/>
      <c r="AD271" s="82"/>
      <c r="AE271" s="82"/>
      <c r="AF271" s="82"/>
      <c r="AG271" s="82"/>
      <c r="AH271" s="82"/>
      <c r="AI271" s="82"/>
      <c r="AJ271" s="82"/>
      <c r="AK271" s="82"/>
      <c r="AL271" s="82"/>
      <c r="AM271" s="82"/>
      <c r="AN271" s="82"/>
      <c r="AO271" s="82"/>
      <c r="AP271" s="82"/>
      <c r="AQ271" s="82"/>
      <c r="AR271" s="82"/>
      <c r="AS271" s="82"/>
      <c r="AT271" s="82"/>
      <c r="AU271" s="82"/>
      <c r="AV271" s="82"/>
      <c r="AW271" s="82"/>
      <c r="AX271" s="82"/>
      <c r="AY271" s="82"/>
      <c r="AZ271" s="82"/>
      <c r="BA271" s="82"/>
      <c r="BB271" s="82"/>
      <c r="BC271" s="82"/>
      <c r="BD271" s="82"/>
      <c r="BE271" s="82"/>
      <c r="BF271" s="82"/>
      <c r="BG271" s="82"/>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c r="CL271" s="14"/>
      <c r="CM271" s="14"/>
      <c r="CN271" s="14"/>
      <c r="CO271" s="14"/>
      <c r="CP271" s="14"/>
      <c r="CQ271" s="14"/>
      <c r="CR271" s="14"/>
      <c r="CS271" s="14"/>
      <c r="CT271" s="14"/>
      <c r="CU271" s="14"/>
      <c r="CV271" s="14"/>
      <c r="CW271" s="14"/>
      <c r="CX271" s="14"/>
      <c r="CY271" s="14"/>
      <c r="CZ271" s="14"/>
      <c r="DA271" s="14"/>
      <c r="DB271" s="14"/>
      <c r="DC271" s="14"/>
      <c r="DD271" s="14"/>
      <c r="DE271" s="14"/>
      <c r="DF271" s="14"/>
      <c r="DG271" s="14"/>
      <c r="DH271" s="14"/>
      <c r="DI271" s="14"/>
      <c r="DJ271" s="14"/>
      <c r="DK271" s="14"/>
      <c r="DL271" s="14"/>
      <c r="DM271" s="14"/>
      <c r="DN271" s="14"/>
      <c r="DO271" s="14"/>
      <c r="DP271" s="14"/>
      <c r="DQ271" s="14"/>
      <c r="DR271" s="14"/>
      <c r="DS271" s="14"/>
      <c r="DT271" s="14"/>
    </row>
    <row r="272" spans="1:124">
      <c r="A272" s="14"/>
      <c r="B272" s="14"/>
      <c r="C272" s="14"/>
      <c r="D272" s="14"/>
      <c r="E272" s="14"/>
      <c r="F272" s="14"/>
      <c r="G272" s="14"/>
      <c r="H272" s="14"/>
      <c r="I272" s="14"/>
      <c r="J272" s="14"/>
      <c r="K272" s="14"/>
      <c r="L272" s="14"/>
      <c r="M272" s="14"/>
      <c r="N272" s="14"/>
      <c r="O272" s="14"/>
      <c r="P272" s="14"/>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c r="AN272" s="82"/>
      <c r="AO272" s="82"/>
      <c r="AP272" s="82"/>
      <c r="AQ272" s="82"/>
      <c r="AR272" s="82"/>
      <c r="AS272" s="82"/>
      <c r="AT272" s="82"/>
      <c r="AU272" s="82"/>
      <c r="AV272" s="82"/>
      <c r="AW272" s="82"/>
      <c r="AX272" s="82"/>
      <c r="AY272" s="82"/>
      <c r="AZ272" s="82"/>
      <c r="BA272" s="82"/>
      <c r="BB272" s="82"/>
      <c r="BC272" s="82"/>
      <c r="BD272" s="82"/>
      <c r="BE272" s="82"/>
      <c r="BF272" s="82"/>
      <c r="BG272" s="82"/>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c r="CH272" s="14"/>
      <c r="CI272" s="14"/>
      <c r="CJ272" s="14"/>
      <c r="CK272" s="14"/>
      <c r="CL272" s="14"/>
      <c r="CM272" s="14"/>
      <c r="CN272" s="14"/>
      <c r="CO272" s="14"/>
      <c r="CP272" s="14"/>
      <c r="CQ272" s="14"/>
      <c r="CR272" s="14"/>
      <c r="CS272" s="14"/>
      <c r="CT272" s="14"/>
      <c r="CU272" s="14"/>
      <c r="CV272" s="14"/>
      <c r="CW272" s="14"/>
      <c r="CX272" s="14"/>
      <c r="CY272" s="14"/>
      <c r="CZ272" s="14"/>
      <c r="DA272" s="14"/>
      <c r="DB272" s="14"/>
      <c r="DC272" s="14"/>
      <c r="DD272" s="14"/>
      <c r="DE272" s="14"/>
      <c r="DF272" s="14"/>
      <c r="DG272" s="14"/>
      <c r="DH272" s="14"/>
      <c r="DI272" s="14"/>
      <c r="DJ272" s="14"/>
      <c r="DK272" s="14"/>
      <c r="DL272" s="14"/>
      <c r="DM272" s="14"/>
      <c r="DN272" s="14"/>
      <c r="DO272" s="14"/>
      <c r="DP272" s="14"/>
      <c r="DQ272" s="14"/>
      <c r="DR272" s="14"/>
      <c r="DS272" s="14"/>
      <c r="DT272" s="14"/>
    </row>
    <row r="273" spans="1:124">
      <c r="A273" s="14"/>
      <c r="B273" s="14"/>
      <c r="C273" s="14"/>
      <c r="D273" s="14"/>
      <c r="E273" s="14"/>
      <c r="F273" s="14"/>
      <c r="G273" s="14"/>
      <c r="H273" s="14"/>
      <c r="I273" s="14"/>
      <c r="J273" s="14"/>
      <c r="K273" s="14"/>
      <c r="L273" s="14"/>
      <c r="M273" s="14"/>
      <c r="N273" s="14"/>
      <c r="O273" s="14"/>
      <c r="P273" s="14"/>
      <c r="Q273" s="82"/>
      <c r="R273" s="82"/>
      <c r="S273" s="82"/>
      <c r="T273" s="82"/>
      <c r="U273" s="82"/>
      <c r="V273" s="82"/>
      <c r="W273" s="82"/>
      <c r="X273" s="82"/>
      <c r="Y273" s="82"/>
      <c r="Z273" s="82"/>
      <c r="AA273" s="82"/>
      <c r="AB273" s="82"/>
      <c r="AC273" s="82"/>
      <c r="AD273" s="82"/>
      <c r="AE273" s="82"/>
      <c r="AF273" s="82"/>
      <c r="AG273" s="82"/>
      <c r="AH273" s="82"/>
      <c r="AI273" s="82"/>
      <c r="AJ273" s="82"/>
      <c r="AK273" s="82"/>
      <c r="AL273" s="82"/>
      <c r="AM273" s="82"/>
      <c r="AN273" s="82"/>
      <c r="AO273" s="82"/>
      <c r="AP273" s="82"/>
      <c r="AQ273" s="82"/>
      <c r="AR273" s="82"/>
      <c r="AS273" s="82"/>
      <c r="AT273" s="82"/>
      <c r="AU273" s="82"/>
      <c r="AV273" s="82"/>
      <c r="AW273" s="82"/>
      <c r="AX273" s="82"/>
      <c r="AY273" s="82"/>
      <c r="AZ273" s="82"/>
      <c r="BA273" s="82"/>
      <c r="BB273" s="82"/>
      <c r="BC273" s="82"/>
      <c r="BD273" s="82"/>
      <c r="BE273" s="82"/>
      <c r="BF273" s="82"/>
      <c r="BG273" s="82"/>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c r="CL273" s="14"/>
      <c r="CM273" s="14"/>
      <c r="CN273" s="14"/>
      <c r="CO273" s="14"/>
      <c r="CP273" s="14"/>
      <c r="CQ273" s="14"/>
      <c r="CR273" s="14"/>
      <c r="CS273" s="14"/>
      <c r="CT273" s="14"/>
      <c r="CU273" s="14"/>
      <c r="CV273" s="14"/>
      <c r="CW273" s="14"/>
      <c r="CX273" s="14"/>
      <c r="CY273" s="14"/>
      <c r="CZ273" s="14"/>
      <c r="DA273" s="14"/>
      <c r="DB273" s="14"/>
      <c r="DC273" s="14"/>
      <c r="DD273" s="14"/>
      <c r="DE273" s="14"/>
      <c r="DF273" s="14"/>
      <c r="DG273" s="14"/>
      <c r="DH273" s="14"/>
      <c r="DI273" s="14"/>
      <c r="DJ273" s="14"/>
      <c r="DK273" s="14"/>
      <c r="DL273" s="14"/>
      <c r="DM273" s="14"/>
      <c r="DN273" s="14"/>
      <c r="DO273" s="14"/>
      <c r="DP273" s="14"/>
      <c r="DQ273" s="14"/>
      <c r="DR273" s="14"/>
      <c r="DS273" s="14"/>
      <c r="DT273" s="14"/>
    </row>
    <row r="274" spans="1:124">
      <c r="A274" s="14"/>
      <c r="B274" s="14"/>
      <c r="C274" s="14"/>
      <c r="D274" s="14"/>
      <c r="E274" s="14"/>
      <c r="F274" s="14"/>
      <c r="G274" s="14"/>
      <c r="H274" s="14"/>
      <c r="I274" s="14"/>
      <c r="J274" s="14"/>
      <c r="K274" s="14"/>
      <c r="L274" s="14"/>
      <c r="M274" s="14"/>
      <c r="N274" s="14"/>
      <c r="O274" s="14"/>
      <c r="P274" s="14"/>
      <c r="Q274" s="82"/>
      <c r="R274" s="82"/>
      <c r="S274" s="82"/>
      <c r="T274" s="82"/>
      <c r="U274" s="82"/>
      <c r="V274" s="82"/>
      <c r="W274" s="82"/>
      <c r="X274" s="82"/>
      <c r="Y274" s="82"/>
      <c r="Z274" s="82"/>
      <c r="AA274" s="82"/>
      <c r="AB274" s="82"/>
      <c r="AC274" s="82"/>
      <c r="AD274" s="82"/>
      <c r="AE274" s="82"/>
      <c r="AF274" s="82"/>
      <c r="AG274" s="82"/>
      <c r="AH274" s="82"/>
      <c r="AI274" s="82"/>
      <c r="AJ274" s="82"/>
      <c r="AK274" s="82"/>
      <c r="AL274" s="82"/>
      <c r="AM274" s="82"/>
      <c r="AN274" s="82"/>
      <c r="AO274" s="82"/>
      <c r="AP274" s="82"/>
      <c r="AQ274" s="82"/>
      <c r="AR274" s="82"/>
      <c r="AS274" s="82"/>
      <c r="AT274" s="82"/>
      <c r="AU274" s="82"/>
      <c r="AV274" s="82"/>
      <c r="AW274" s="82"/>
      <c r="AX274" s="82"/>
      <c r="AY274" s="82"/>
      <c r="AZ274" s="82"/>
      <c r="BA274" s="82"/>
      <c r="BB274" s="82"/>
      <c r="BC274" s="82"/>
      <c r="BD274" s="82"/>
      <c r="BE274" s="82"/>
      <c r="BF274" s="82"/>
      <c r="BG274" s="82"/>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c r="CL274" s="14"/>
      <c r="CM274" s="14"/>
      <c r="CN274" s="14"/>
      <c r="CO274" s="14"/>
      <c r="CP274" s="14"/>
      <c r="CQ274" s="14"/>
      <c r="CR274" s="14"/>
      <c r="CS274" s="14"/>
      <c r="CT274" s="14"/>
      <c r="CU274" s="14"/>
      <c r="CV274" s="14"/>
      <c r="CW274" s="14"/>
      <c r="CX274" s="14"/>
      <c r="CY274" s="14"/>
      <c r="CZ274" s="14"/>
      <c r="DA274" s="14"/>
      <c r="DB274" s="14"/>
      <c r="DC274" s="14"/>
      <c r="DD274" s="14"/>
      <c r="DE274" s="14"/>
      <c r="DF274" s="14"/>
      <c r="DG274" s="14"/>
      <c r="DH274" s="14"/>
      <c r="DI274" s="14"/>
      <c r="DJ274" s="14"/>
      <c r="DK274" s="14"/>
      <c r="DL274" s="14"/>
      <c r="DM274" s="14"/>
      <c r="DN274" s="14"/>
      <c r="DO274" s="14"/>
      <c r="DP274" s="14"/>
      <c r="DQ274" s="14"/>
      <c r="DR274" s="14"/>
      <c r="DS274" s="14"/>
      <c r="DT274" s="14"/>
    </row>
    <row r="275" spans="1:124">
      <c r="A275" s="14"/>
      <c r="B275" s="14"/>
      <c r="C275" s="14"/>
      <c r="D275" s="14"/>
      <c r="E275" s="14"/>
      <c r="F275" s="14"/>
      <c r="G275" s="14"/>
      <c r="H275" s="14"/>
      <c r="I275" s="14"/>
      <c r="J275" s="14"/>
      <c r="K275" s="14"/>
      <c r="L275" s="14"/>
      <c r="M275" s="14"/>
      <c r="N275" s="14"/>
      <c r="O275" s="14"/>
      <c r="P275" s="14"/>
      <c r="Q275" s="82"/>
      <c r="R275" s="82"/>
      <c r="S275" s="82"/>
      <c r="T275" s="82"/>
      <c r="U275" s="82"/>
      <c r="V275" s="82"/>
      <c r="W275" s="82"/>
      <c r="X275" s="82"/>
      <c r="Y275" s="82"/>
      <c r="Z275" s="82"/>
      <c r="AA275" s="82"/>
      <c r="AB275" s="82"/>
      <c r="AC275" s="82"/>
      <c r="AD275" s="82"/>
      <c r="AE275" s="82"/>
      <c r="AF275" s="82"/>
      <c r="AG275" s="82"/>
      <c r="AH275" s="82"/>
      <c r="AI275" s="82"/>
      <c r="AJ275" s="82"/>
      <c r="AK275" s="82"/>
      <c r="AL275" s="82"/>
      <c r="AM275" s="82"/>
      <c r="AN275" s="82"/>
      <c r="AO275" s="82"/>
      <c r="AP275" s="82"/>
      <c r="AQ275" s="82"/>
      <c r="AR275" s="82"/>
      <c r="AS275" s="82"/>
      <c r="AT275" s="82"/>
      <c r="AU275" s="82"/>
      <c r="AV275" s="82"/>
      <c r="AW275" s="82"/>
      <c r="AX275" s="82"/>
      <c r="AY275" s="82"/>
      <c r="AZ275" s="82"/>
      <c r="BA275" s="82"/>
      <c r="BB275" s="82"/>
      <c r="BC275" s="82"/>
      <c r="BD275" s="82"/>
      <c r="BE275" s="82"/>
      <c r="BF275" s="82"/>
      <c r="BG275" s="82"/>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c r="CH275" s="14"/>
      <c r="CI275" s="14"/>
      <c r="CJ275" s="14"/>
      <c r="CK275" s="14"/>
      <c r="CL275" s="14"/>
      <c r="CM275" s="14"/>
      <c r="CN275" s="14"/>
      <c r="CO275" s="14"/>
      <c r="CP275" s="14"/>
      <c r="CQ275" s="14"/>
      <c r="CR275" s="14"/>
      <c r="CS275" s="14"/>
      <c r="CT275" s="14"/>
      <c r="CU275" s="14"/>
      <c r="CV275" s="14"/>
      <c r="CW275" s="14"/>
      <c r="CX275" s="14"/>
      <c r="CY275" s="14"/>
      <c r="CZ275" s="14"/>
      <c r="DA275" s="14"/>
      <c r="DB275" s="14"/>
      <c r="DC275" s="14"/>
      <c r="DD275" s="14"/>
      <c r="DE275" s="14"/>
      <c r="DF275" s="14"/>
      <c r="DG275" s="14"/>
      <c r="DH275" s="14"/>
      <c r="DI275" s="14"/>
      <c r="DJ275" s="14"/>
      <c r="DK275" s="14"/>
      <c r="DL275" s="14"/>
      <c r="DM275" s="14"/>
      <c r="DN275" s="14"/>
      <c r="DO275" s="14"/>
      <c r="DP275" s="14"/>
      <c r="DQ275" s="14"/>
      <c r="DR275" s="14"/>
      <c r="DS275" s="14"/>
      <c r="DT275" s="14"/>
    </row>
    <row r="276" spans="1:124">
      <c r="A276" s="14"/>
      <c r="B276" s="14"/>
      <c r="C276" s="14"/>
      <c r="D276" s="14"/>
      <c r="E276" s="14"/>
      <c r="F276" s="14"/>
      <c r="G276" s="14"/>
      <c r="H276" s="14"/>
      <c r="I276" s="14"/>
      <c r="J276" s="14"/>
      <c r="K276" s="14"/>
      <c r="L276" s="14"/>
      <c r="M276" s="14"/>
      <c r="N276" s="14"/>
      <c r="O276" s="14"/>
      <c r="P276" s="14"/>
      <c r="Q276" s="82"/>
      <c r="R276" s="82"/>
      <c r="S276" s="82"/>
      <c r="T276" s="82"/>
      <c r="U276" s="82"/>
      <c r="V276" s="82"/>
      <c r="W276" s="82"/>
      <c r="X276" s="82"/>
      <c r="Y276" s="82"/>
      <c r="Z276" s="82"/>
      <c r="AA276" s="82"/>
      <c r="AB276" s="82"/>
      <c r="AC276" s="82"/>
      <c r="AD276" s="82"/>
      <c r="AE276" s="82"/>
      <c r="AF276" s="82"/>
      <c r="AG276" s="82"/>
      <c r="AH276" s="82"/>
      <c r="AI276" s="82"/>
      <c r="AJ276" s="82"/>
      <c r="AK276" s="82"/>
      <c r="AL276" s="82"/>
      <c r="AM276" s="82"/>
      <c r="AN276" s="82"/>
      <c r="AO276" s="82"/>
      <c r="AP276" s="82"/>
      <c r="AQ276" s="82"/>
      <c r="AR276" s="82"/>
      <c r="AS276" s="82"/>
      <c r="AT276" s="82"/>
      <c r="AU276" s="82"/>
      <c r="AV276" s="82"/>
      <c r="AW276" s="82"/>
      <c r="AX276" s="82"/>
      <c r="AY276" s="82"/>
      <c r="AZ276" s="82"/>
      <c r="BA276" s="82"/>
      <c r="BB276" s="82"/>
      <c r="BC276" s="82"/>
      <c r="BD276" s="82"/>
      <c r="BE276" s="82"/>
      <c r="BF276" s="82"/>
      <c r="BG276" s="82"/>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c r="CH276" s="14"/>
      <c r="CI276" s="14"/>
      <c r="CJ276" s="14"/>
      <c r="CK276" s="14"/>
      <c r="CL276" s="14"/>
      <c r="CM276" s="14"/>
      <c r="CN276" s="14"/>
      <c r="CO276" s="14"/>
      <c r="CP276" s="14"/>
      <c r="CQ276" s="14"/>
      <c r="CR276" s="14"/>
      <c r="CS276" s="14"/>
      <c r="CT276" s="14"/>
      <c r="CU276" s="14"/>
      <c r="CV276" s="14"/>
      <c r="CW276" s="14"/>
      <c r="CX276" s="14"/>
      <c r="CY276" s="14"/>
      <c r="CZ276" s="14"/>
      <c r="DA276" s="14"/>
      <c r="DB276" s="14"/>
      <c r="DC276" s="14"/>
      <c r="DD276" s="14"/>
      <c r="DE276" s="14"/>
      <c r="DF276" s="14"/>
      <c r="DG276" s="14"/>
      <c r="DH276" s="14"/>
      <c r="DI276" s="14"/>
      <c r="DJ276" s="14"/>
      <c r="DK276" s="14"/>
      <c r="DL276" s="14"/>
      <c r="DM276" s="14"/>
      <c r="DN276" s="14"/>
      <c r="DO276" s="14"/>
      <c r="DP276" s="14"/>
      <c r="DQ276" s="14"/>
      <c r="DR276" s="14"/>
      <c r="DS276" s="14"/>
      <c r="DT276" s="14"/>
    </row>
  </sheetData>
  <sheetProtection algorithmName="SHA-512" hashValue="2mTe6DjIIXQY8qvGQUqRo4PHhzQNvaLuOv1FYvp7rqNiOqbGZc9eMyKU531W+ib6P4gZ6UKnCptJ0JzT5VJbOw==" saltValue="vEHrDVMxPh9sHzcUGf1vMg==" spinCount="100000" sheet="1" scenarios="1"/>
  <mergeCells count="155">
    <mergeCell ref="O1:O2"/>
    <mergeCell ref="AZ58:BB58"/>
    <mergeCell ref="C111:C114"/>
    <mergeCell ref="D111:G114"/>
    <mergeCell ref="I111:I114"/>
    <mergeCell ref="C94:C99"/>
    <mergeCell ref="L94:O99"/>
    <mergeCell ref="L101:O104"/>
    <mergeCell ref="L106:O109"/>
    <mergeCell ref="L111:O114"/>
    <mergeCell ref="I94:I99"/>
    <mergeCell ref="C101:C104"/>
    <mergeCell ref="D101:G104"/>
    <mergeCell ref="I101:I104"/>
    <mergeCell ref="C71:G74"/>
    <mergeCell ref="G21:G22"/>
    <mergeCell ref="C35:O40"/>
    <mergeCell ref="C28:I29"/>
    <mergeCell ref="I84:I88"/>
    <mergeCell ref="L84:O88"/>
    <mergeCell ref="C42:O44"/>
    <mergeCell ref="I71:O74"/>
    <mergeCell ref="C159:L161"/>
    <mergeCell ref="N146:N147"/>
    <mergeCell ref="J146:K147"/>
    <mergeCell ref="F146:G146"/>
    <mergeCell ref="H146:I147"/>
    <mergeCell ref="H148:I148"/>
    <mergeCell ref="H149:I149"/>
    <mergeCell ref="H150:I150"/>
    <mergeCell ref="C151:D151"/>
    <mergeCell ref="C149:D149"/>
    <mergeCell ref="C156:D156"/>
    <mergeCell ref="C157:D157"/>
    <mergeCell ref="C154:D154"/>
    <mergeCell ref="C155:D155"/>
    <mergeCell ref="C152:D152"/>
    <mergeCell ref="C153:D153"/>
    <mergeCell ref="H152:I152"/>
    <mergeCell ref="H153:I153"/>
    <mergeCell ref="H154:I154"/>
    <mergeCell ref="H155:I155"/>
    <mergeCell ref="H156:I156"/>
    <mergeCell ref="H157:I157"/>
    <mergeCell ref="C142:L143"/>
    <mergeCell ref="C146:D147"/>
    <mergeCell ref="E146:E147"/>
    <mergeCell ref="L146:L147"/>
    <mergeCell ref="C148:D148"/>
    <mergeCell ref="H151:I151"/>
    <mergeCell ref="I122:I125"/>
    <mergeCell ref="D127:G129"/>
    <mergeCell ref="C131:D131"/>
    <mergeCell ref="C132:F132"/>
    <mergeCell ref="C133:F133"/>
    <mergeCell ref="I138:L138"/>
    <mergeCell ref="I137:L137"/>
    <mergeCell ref="I136:L136"/>
    <mergeCell ref="BL191:BM193"/>
    <mergeCell ref="BN191:BN193"/>
    <mergeCell ref="BO191:BQ193"/>
    <mergeCell ref="BI189:BK190"/>
    <mergeCell ref="BH189:BH190"/>
    <mergeCell ref="BH173:BQ174"/>
    <mergeCell ref="BH178:BQ178"/>
    <mergeCell ref="BH186:BO187"/>
    <mergeCell ref="BO189:BQ190"/>
    <mergeCell ref="BN189:BN190"/>
    <mergeCell ref="BL189:BM190"/>
    <mergeCell ref="BH181:BO181"/>
    <mergeCell ref="BI191:BK193"/>
    <mergeCell ref="BH191:BH193"/>
    <mergeCell ref="BH188:BK188"/>
    <mergeCell ref="BL188:BN188"/>
    <mergeCell ref="BH183:BQ184"/>
    <mergeCell ref="BM176:BP177"/>
    <mergeCell ref="BI200:BK201"/>
    <mergeCell ref="BH200:BH201"/>
    <mergeCell ref="BL200:BM201"/>
    <mergeCell ref="BN200:BN201"/>
    <mergeCell ref="BO200:BQ201"/>
    <mergeCell ref="BI194:BK195"/>
    <mergeCell ref="BH194:BH195"/>
    <mergeCell ref="BL194:BM195"/>
    <mergeCell ref="BN194:BN195"/>
    <mergeCell ref="BO194:BQ195"/>
    <mergeCell ref="BI196:BK199"/>
    <mergeCell ref="BH196:BH199"/>
    <mergeCell ref="BL196:BM199"/>
    <mergeCell ref="BN196:BN199"/>
    <mergeCell ref="BO196:BQ199"/>
    <mergeCell ref="BL225:BP225"/>
    <mergeCell ref="BL226:BP226"/>
    <mergeCell ref="BH220:BI220"/>
    <mergeCell ref="BI211:BK212"/>
    <mergeCell ref="BH211:BH212"/>
    <mergeCell ref="BL211:BM212"/>
    <mergeCell ref="BN211:BN212"/>
    <mergeCell ref="BO211:BQ212"/>
    <mergeCell ref="BI209:BK210"/>
    <mergeCell ref="BH209:BH210"/>
    <mergeCell ref="BL209:BM210"/>
    <mergeCell ref="BN209:BN210"/>
    <mergeCell ref="BO209:BQ210"/>
    <mergeCell ref="BH216:BQ217"/>
    <mergeCell ref="BL224:BP224"/>
    <mergeCell ref="BH214:BQ215"/>
    <mergeCell ref="BI207:BK208"/>
    <mergeCell ref="BH207:BH208"/>
    <mergeCell ref="BL207:BM208"/>
    <mergeCell ref="BN207:BN208"/>
    <mergeCell ref="BO207:BQ208"/>
    <mergeCell ref="BI204:BK206"/>
    <mergeCell ref="BH204:BH206"/>
    <mergeCell ref="BL204:BM206"/>
    <mergeCell ref="BN204:BN206"/>
    <mergeCell ref="BO204:BQ206"/>
    <mergeCell ref="BI202:BK203"/>
    <mergeCell ref="BH202:BH203"/>
    <mergeCell ref="BL202:BM203"/>
    <mergeCell ref="BN202:BN203"/>
    <mergeCell ref="BO202:BQ203"/>
    <mergeCell ref="C4:I5"/>
    <mergeCell ref="C11:F11"/>
    <mergeCell ref="C8:F8"/>
    <mergeCell ref="C14:F14"/>
    <mergeCell ref="D80:G82"/>
    <mergeCell ref="I80:I82"/>
    <mergeCell ref="C80:C82"/>
    <mergeCell ref="C150:D150"/>
    <mergeCell ref="C136:G136"/>
    <mergeCell ref="C137:G138"/>
    <mergeCell ref="C139:G140"/>
    <mergeCell ref="C90:C92"/>
    <mergeCell ref="I90:I92"/>
    <mergeCell ref="C127:C129"/>
    <mergeCell ref="C116:C120"/>
    <mergeCell ref="D116:G120"/>
    <mergeCell ref="I116:I120"/>
    <mergeCell ref="C122:C125"/>
    <mergeCell ref="D122:G125"/>
    <mergeCell ref="L116:O120"/>
    <mergeCell ref="L122:O125"/>
    <mergeCell ref="I127:I129"/>
    <mergeCell ref="L127:O129"/>
    <mergeCell ref="J79:K79"/>
    <mergeCell ref="C106:C109"/>
    <mergeCell ref="D106:G109"/>
    <mergeCell ref="I106:I109"/>
    <mergeCell ref="D94:G99"/>
    <mergeCell ref="L90:O92"/>
    <mergeCell ref="D90:G92"/>
    <mergeCell ref="L80:O82"/>
    <mergeCell ref="C84:C88"/>
    <mergeCell ref="D84:G88"/>
  </mergeCells>
  <conditionalFormatting sqref="BL196:BQ199">
    <cfRule type="expression" dxfId="190" priority="333">
      <formula>$T$57=TRUE</formula>
    </cfRule>
  </conditionalFormatting>
  <conditionalFormatting sqref="BH181">
    <cfRule type="expression" dxfId="189" priority="413">
      <formula>$AN$162=TRUE</formula>
    </cfRule>
  </conditionalFormatting>
  <conditionalFormatting sqref="BH189:BK193">
    <cfRule type="expression" dxfId="188" priority="393">
      <formula>$T$57=TRUE</formula>
    </cfRule>
  </conditionalFormatting>
  <conditionalFormatting sqref="BO189:BQ193">
    <cfRule type="expression" dxfId="187" priority="390">
      <formula>$T$57=TRUE</formula>
    </cfRule>
  </conditionalFormatting>
  <conditionalFormatting sqref="BL189:BN190">
    <cfRule type="expression" dxfId="186" priority="7">
      <formula>$R$68=TRUE</formula>
    </cfRule>
    <cfRule type="expression" dxfId="185" priority="10">
      <formula>$R$67=TRUE</formula>
    </cfRule>
    <cfRule type="expression" dxfId="184" priority="12">
      <formula>$S$68=TRUE</formula>
    </cfRule>
    <cfRule type="expression" dxfId="183" priority="13">
      <formula>$S$67=TRUE</formula>
    </cfRule>
    <cfRule type="expression" dxfId="182" priority="82">
      <formula>$O$46=1</formula>
    </cfRule>
    <cfRule type="expression" dxfId="181" priority="300">
      <formula>$O$58=10</formula>
    </cfRule>
    <cfRule type="expression" dxfId="180" priority="301">
      <formula>$O$58=9</formula>
    </cfRule>
    <cfRule type="expression" dxfId="179" priority="302">
      <formula>$O$58=1</formula>
    </cfRule>
    <cfRule type="expression" dxfId="178" priority="349">
      <formula>T57=TRUE</formula>
    </cfRule>
    <cfRule type="expression" dxfId="177" priority="350">
      <formula>$AK$189=TRUE</formula>
    </cfRule>
  </conditionalFormatting>
  <conditionalFormatting sqref="BH194:BQ195">
    <cfRule type="expression" dxfId="176" priority="337">
      <formula>$AK$191=TRUE</formula>
    </cfRule>
    <cfRule type="expression" dxfId="175" priority="417">
      <formula>$T$57=TRUE</formula>
    </cfRule>
  </conditionalFormatting>
  <conditionalFormatting sqref="BH211:BQ212">
    <cfRule type="expression" dxfId="174" priority="297">
      <formula>$AI$189=TRUE</formula>
    </cfRule>
    <cfRule type="expression" dxfId="173" priority="298">
      <formula>$AK$198=TRUE</formula>
    </cfRule>
    <cfRule type="expression" dxfId="172" priority="308">
      <formula>$AI$189=TRUE</formula>
    </cfRule>
    <cfRule type="expression" dxfId="171" priority="419">
      <formula>$T$57=TRUE</formula>
    </cfRule>
  </conditionalFormatting>
  <conditionalFormatting sqref="BH194:BK195">
    <cfRule type="expression" dxfId="170" priority="340">
      <formula>$AL$191=TRUE</formula>
    </cfRule>
    <cfRule type="expression" dxfId="169" priority="353">
      <formula>"s58=SANN"</formula>
    </cfRule>
  </conditionalFormatting>
  <conditionalFormatting sqref="BH189:BK190">
    <cfRule type="expression" dxfId="168" priority="344">
      <formula>$AK$189=TRUE</formula>
    </cfRule>
    <cfRule type="expression" dxfId="167" priority="352">
      <formula>$AL$189=TRUE</formula>
    </cfRule>
  </conditionalFormatting>
  <conditionalFormatting sqref="BO189:BQ190">
    <cfRule type="expression" dxfId="166" priority="343">
      <formula>$AK$189=TRUE</formula>
    </cfRule>
    <cfRule type="expression" dxfId="165" priority="351">
      <formula>$AL$189=TRUE</formula>
    </cfRule>
  </conditionalFormatting>
  <conditionalFormatting sqref="BH191:BK193">
    <cfRule type="expression" dxfId="164" priority="342">
      <formula>$AK$190=TRUE</formula>
    </cfRule>
    <cfRule type="expression" dxfId="163" priority="348">
      <formula>$AL$190=TRUE</formula>
    </cfRule>
  </conditionalFormatting>
  <conditionalFormatting sqref="BO191:BQ193">
    <cfRule type="expression" dxfId="162" priority="341">
      <formula>$AK$190=TRUE</formula>
    </cfRule>
    <cfRule type="expression" dxfId="161" priority="347">
      <formula>$AL$190=TRUE</formula>
    </cfRule>
  </conditionalFormatting>
  <conditionalFormatting sqref="BL191:BN193">
    <cfRule type="expression" dxfId="160" priority="345">
      <formula>$AK$190=TRUE</formula>
    </cfRule>
    <cfRule type="expression" dxfId="159" priority="346">
      <formula>$AL$190=TRUE</formula>
    </cfRule>
  </conditionalFormatting>
  <conditionalFormatting sqref="BO194:BQ195">
    <cfRule type="expression" dxfId="158" priority="339">
      <formula>$AL$191=TRUE</formula>
    </cfRule>
  </conditionalFormatting>
  <conditionalFormatting sqref="BL194:BN195">
    <cfRule type="expression" dxfId="157" priority="338">
      <formula>$AL$191=TRUE</formula>
    </cfRule>
  </conditionalFormatting>
  <conditionalFormatting sqref="BH196:BK199">
    <cfRule type="expression" dxfId="156" priority="332">
      <formula>$AI$189=TRUE</formula>
    </cfRule>
    <cfRule type="expression" dxfId="155" priority="405">
      <formula>$AL$192=TRUE</formula>
    </cfRule>
  </conditionalFormatting>
  <conditionalFormatting sqref="BO196:BQ199">
    <cfRule type="expression" dxfId="154" priority="336">
      <formula>$AL$192=TRUE</formula>
    </cfRule>
  </conditionalFormatting>
  <conditionalFormatting sqref="BL196:BN199">
    <cfRule type="expression" dxfId="153" priority="335">
      <formula>$AL$192=TRUE</formula>
    </cfRule>
  </conditionalFormatting>
  <conditionalFormatting sqref="BH196:BQ199">
    <cfRule type="expression" dxfId="152" priority="334">
      <formula>$AK$192=TRUE</formula>
    </cfRule>
  </conditionalFormatting>
  <conditionalFormatting sqref="BH200:BK201">
    <cfRule type="expression" dxfId="151" priority="331">
      <formula>$AL$193=TRUE</formula>
    </cfRule>
  </conditionalFormatting>
  <conditionalFormatting sqref="BO200:BQ201">
    <cfRule type="expression" dxfId="150" priority="330">
      <formula>$AL$193=TRUE</formula>
    </cfRule>
  </conditionalFormatting>
  <conditionalFormatting sqref="BL200:BN201">
    <cfRule type="expression" dxfId="149" priority="329">
      <formula>$AL$193=TRUE</formula>
    </cfRule>
  </conditionalFormatting>
  <conditionalFormatting sqref="BH202:BQ203">
    <cfRule type="expression" dxfId="148" priority="322">
      <formula>$AI$189=TRUE</formula>
    </cfRule>
    <cfRule type="expression" dxfId="147" priority="323">
      <formula>$AK$194=TRUE</formula>
    </cfRule>
    <cfRule type="expression" dxfId="146" priority="327">
      <formula>$AK$194=TRUE</formula>
    </cfRule>
    <cfRule type="expression" dxfId="145" priority="328">
      <formula>$AI$189=TRUE</formula>
    </cfRule>
  </conditionalFormatting>
  <conditionalFormatting sqref="BH202:BK203">
    <cfRule type="expression" dxfId="144" priority="326">
      <formula>$AL$194=TRUE</formula>
    </cfRule>
  </conditionalFormatting>
  <conditionalFormatting sqref="BO202:BQ203">
    <cfRule type="expression" dxfId="143" priority="325">
      <formula>$AL$194=TRUE</formula>
    </cfRule>
  </conditionalFormatting>
  <conditionalFormatting sqref="BL202:BN203">
    <cfRule type="expression" dxfId="142" priority="324">
      <formula>$AL$194=TRUE</formula>
    </cfRule>
  </conditionalFormatting>
  <conditionalFormatting sqref="BH204:BK206">
    <cfRule type="expression" dxfId="141" priority="321">
      <formula>$AL$195=TRUE</formula>
    </cfRule>
  </conditionalFormatting>
  <conditionalFormatting sqref="BO204:BQ206">
    <cfRule type="expression" dxfId="140" priority="320">
      <formula>$AL$195=TRUE</formula>
    </cfRule>
  </conditionalFormatting>
  <conditionalFormatting sqref="BL204:BN206">
    <cfRule type="expression" dxfId="139" priority="319">
      <formula>$AL$195=TRUE</formula>
    </cfRule>
  </conditionalFormatting>
  <conditionalFormatting sqref="BH204:BQ206">
    <cfRule type="expression" dxfId="138" priority="317">
      <formula>$AI$189=TRUE</formula>
    </cfRule>
    <cfRule type="expression" dxfId="137" priority="318">
      <formula>$AK$195=TRUE</formula>
    </cfRule>
  </conditionalFormatting>
  <conditionalFormatting sqref="BH209:BK210">
    <cfRule type="expression" dxfId="136" priority="316">
      <formula>$AL$197=TRUE</formula>
    </cfRule>
  </conditionalFormatting>
  <conditionalFormatting sqref="BO209:BQ210">
    <cfRule type="expression" dxfId="135" priority="315">
      <formula>$AL$197=TRUE</formula>
    </cfRule>
  </conditionalFormatting>
  <conditionalFormatting sqref="BL209:BN210">
    <cfRule type="expression" dxfId="134" priority="314">
      <formula>$AL$197=TRUE</formula>
    </cfRule>
  </conditionalFormatting>
  <conditionalFormatting sqref="BH209:BQ210">
    <cfRule type="expression" dxfId="133" priority="312">
      <formula>$AI$189=TRUE</formula>
    </cfRule>
    <cfRule type="expression" dxfId="132" priority="313">
      <formula>$AK$197=TRUE</formula>
    </cfRule>
  </conditionalFormatting>
  <conditionalFormatting sqref="BH211:BK212">
    <cfRule type="expression" dxfId="131" priority="311">
      <formula>$AL$198</formula>
    </cfRule>
  </conditionalFormatting>
  <conditionalFormatting sqref="BO211:BQ212">
    <cfRule type="expression" dxfId="130" priority="310">
      <formula>$AL$198=TRUE</formula>
    </cfRule>
  </conditionalFormatting>
  <conditionalFormatting sqref="BL211:BN212">
    <cfRule type="expression" dxfId="129" priority="309">
      <formula>$AL$198=TRUE</formula>
    </cfRule>
  </conditionalFormatting>
  <conditionalFormatting sqref="BH207:BK208">
    <cfRule type="expression" dxfId="128" priority="307">
      <formula>$AL$196=TRUE</formula>
    </cfRule>
  </conditionalFormatting>
  <conditionalFormatting sqref="BO207:BQ208">
    <cfRule type="expression" dxfId="127" priority="306">
      <formula>$AL$196=TRUE</formula>
    </cfRule>
  </conditionalFormatting>
  <conditionalFormatting sqref="BL207:BN208">
    <cfRule type="expression" dxfId="126" priority="305">
      <formula>$AL$196=TRUE</formula>
    </cfRule>
  </conditionalFormatting>
  <conditionalFormatting sqref="BH207:BQ208">
    <cfRule type="expression" dxfId="125" priority="303">
      <formula>$AI$189=TRUE</formula>
    </cfRule>
    <cfRule type="expression" dxfId="124" priority="304">
      <formula>$AK$196=TRUE</formula>
    </cfRule>
  </conditionalFormatting>
  <conditionalFormatting sqref="BH200:BQ201">
    <cfRule type="expression" dxfId="123" priority="296">
      <formula>$AI$189=TRUE</formula>
    </cfRule>
    <cfRule type="expression" dxfId="122" priority="299">
      <formula>$AK$193=TRUE</formula>
    </cfRule>
  </conditionalFormatting>
  <conditionalFormatting sqref="D27:G27">
    <cfRule type="expression" dxfId="121" priority="420">
      <formula>$T$27=TRUE</formula>
    </cfRule>
  </conditionalFormatting>
  <conditionalFormatting sqref="H30:H33">
    <cfRule type="expression" dxfId="120" priority="421">
      <formula>$T$27=TRUE</formula>
    </cfRule>
  </conditionalFormatting>
  <conditionalFormatting sqref="C84:C88">
    <cfRule type="expression" dxfId="119" priority="288">
      <formula>$U$84=TRUE</formula>
    </cfRule>
  </conditionalFormatting>
  <conditionalFormatting sqref="I84:I88">
    <cfRule type="expression" dxfId="118" priority="287">
      <formula>$V$84=TRUE</formula>
    </cfRule>
  </conditionalFormatting>
  <conditionalFormatting sqref="L84:O88">
    <cfRule type="expression" dxfId="117" priority="285">
      <formula>$U$84=TRUE</formula>
    </cfRule>
  </conditionalFormatting>
  <conditionalFormatting sqref="C90">
    <cfRule type="expression" dxfId="116" priority="284">
      <formula>$U$85=TRUE</formula>
    </cfRule>
  </conditionalFormatting>
  <conditionalFormatting sqref="I90:I92">
    <cfRule type="expression" dxfId="115" priority="282">
      <formula>$V$85=TRUE</formula>
    </cfRule>
  </conditionalFormatting>
  <conditionalFormatting sqref="C94:C99">
    <cfRule type="expression" dxfId="114" priority="280">
      <formula>$U$86=TRUE</formula>
    </cfRule>
  </conditionalFormatting>
  <conditionalFormatting sqref="D94:G99">
    <cfRule type="expression" dxfId="113" priority="279">
      <formula>$U$86=TRUE</formula>
    </cfRule>
  </conditionalFormatting>
  <conditionalFormatting sqref="I94:I99">
    <cfRule type="expression" dxfId="112" priority="278">
      <formula>$V$86=TRUE</formula>
    </cfRule>
  </conditionalFormatting>
  <conditionalFormatting sqref="L101:O104">
    <cfRule type="expression" dxfId="111" priority="276">
      <formula>$U$87=TRUE</formula>
    </cfRule>
  </conditionalFormatting>
  <conditionalFormatting sqref="I101:I104">
    <cfRule type="expression" dxfId="110" priority="275">
      <formula>$V$87=TRUE</formula>
    </cfRule>
  </conditionalFormatting>
  <conditionalFormatting sqref="C101:C104">
    <cfRule type="expression" dxfId="109" priority="274">
      <formula>$U$87=TRUE</formula>
    </cfRule>
  </conditionalFormatting>
  <conditionalFormatting sqref="D101:G104">
    <cfRule type="expression" dxfId="108" priority="273">
      <formula>$U$87=TRUE</formula>
    </cfRule>
  </conditionalFormatting>
  <conditionalFormatting sqref="I106:I109">
    <cfRule type="expression" dxfId="107" priority="272">
      <formula>$V$88=TRUE</formula>
    </cfRule>
  </conditionalFormatting>
  <conditionalFormatting sqref="L106:O109">
    <cfRule type="expression" dxfId="106" priority="271">
      <formula>$U$88=TRUE</formula>
    </cfRule>
  </conditionalFormatting>
  <conditionalFormatting sqref="C106:C109">
    <cfRule type="expression" dxfId="105" priority="270">
      <formula>$U$88=TRUE</formula>
    </cfRule>
  </conditionalFormatting>
  <conditionalFormatting sqref="D106:G109">
    <cfRule type="expression" dxfId="104" priority="269">
      <formula>$U$88=TRUE</formula>
    </cfRule>
  </conditionalFormatting>
  <conditionalFormatting sqref="L111:O114">
    <cfRule type="expression" dxfId="103" priority="268">
      <formula>$U$89=TRUE</formula>
    </cfRule>
  </conditionalFormatting>
  <conditionalFormatting sqref="I111:I114">
    <cfRule type="expression" dxfId="102" priority="267">
      <formula>$V$89=TRUE</formula>
    </cfRule>
  </conditionalFormatting>
  <conditionalFormatting sqref="C111:C114">
    <cfRule type="expression" dxfId="101" priority="266">
      <formula>$U$89=TRUE</formula>
    </cfRule>
  </conditionalFormatting>
  <conditionalFormatting sqref="D111:G114">
    <cfRule type="expression" dxfId="100" priority="265">
      <formula>$U$89=TRUE</formula>
    </cfRule>
  </conditionalFormatting>
  <conditionalFormatting sqref="I116:I120">
    <cfRule type="expression" dxfId="99" priority="264">
      <formula>$V$90=TRUE</formula>
    </cfRule>
  </conditionalFormatting>
  <conditionalFormatting sqref="C116:C120">
    <cfRule type="expression" dxfId="98" priority="262">
      <formula>$U$90=TRUE</formula>
    </cfRule>
  </conditionalFormatting>
  <conditionalFormatting sqref="D116:G120">
    <cfRule type="expression" dxfId="97" priority="261">
      <formula>$U$90=TRUE</formula>
    </cfRule>
  </conditionalFormatting>
  <conditionalFormatting sqref="I80:I82">
    <cfRule type="expression" dxfId="96" priority="434">
      <formula>$V$83=TRUE</formula>
    </cfRule>
  </conditionalFormatting>
  <conditionalFormatting sqref="L80:O82">
    <cfRule type="expression" dxfId="95" priority="256">
      <formula>$U$83=TRUE</formula>
    </cfRule>
  </conditionalFormatting>
  <conditionalFormatting sqref="C80:C82">
    <cfRule type="expression" dxfId="94" priority="255">
      <formula>$U$83=TRUE</formula>
    </cfRule>
  </conditionalFormatting>
  <conditionalFormatting sqref="D80:G82">
    <cfRule type="expression" dxfId="93" priority="254">
      <formula>$U$83=TRUE</formula>
    </cfRule>
  </conditionalFormatting>
  <conditionalFormatting sqref="C137:G138">
    <cfRule type="expression" dxfId="92" priority="2">
      <formula>$R$69=TRUE</formula>
    </cfRule>
    <cfRule type="expression" dxfId="91" priority="3">
      <formula>$R$62=TRUE</formula>
    </cfRule>
    <cfRule type="expression" dxfId="90" priority="4">
      <formula>$S$64=TRUE</formula>
    </cfRule>
    <cfRule type="expression" dxfId="89" priority="11">
      <formula>$S$69=TRUE</formula>
    </cfRule>
    <cfRule type="expression" dxfId="88" priority="14">
      <formula>$S$62=TRUE</formula>
    </cfRule>
    <cfRule type="expression" dxfId="87" priority="250">
      <formula>$T$57=TRUE</formula>
    </cfRule>
  </conditionalFormatting>
  <conditionalFormatting sqref="I139:L139">
    <cfRule type="expression" dxfId="86" priority="242">
      <formula>$T$57=TRUE</formula>
    </cfRule>
  </conditionalFormatting>
  <conditionalFormatting sqref="H136:H138">
    <cfRule type="expression" dxfId="85" priority="237">
      <formula>$T$57=TRUE</formula>
    </cfRule>
  </conditionalFormatting>
  <conditionalFormatting sqref="H139">
    <cfRule type="expression" dxfId="84" priority="236">
      <formula>$T$57=TRUE</formula>
    </cfRule>
  </conditionalFormatting>
  <conditionalFormatting sqref="C142:L143">
    <cfRule type="expression" dxfId="83" priority="228">
      <formula>$T$57=TRUE</formula>
    </cfRule>
  </conditionalFormatting>
  <conditionalFormatting sqref="C146:F146 C147:G147 L146 J146">
    <cfRule type="expression" dxfId="82" priority="222">
      <formula>$T$57=TRUE</formula>
    </cfRule>
  </conditionalFormatting>
  <conditionalFormatting sqref="C148:G157">
    <cfRule type="expression" dxfId="81" priority="226">
      <formula>$T$57</formula>
    </cfRule>
  </conditionalFormatting>
  <conditionalFormatting sqref="C148:G157">
    <cfRule type="expression" dxfId="80" priority="221">
      <formula>$T$57=TRUE</formula>
    </cfRule>
  </conditionalFormatting>
  <conditionalFormatting sqref="C135:L135">
    <cfRule type="expression" dxfId="79" priority="220">
      <formula>$T$57=TRUE</formula>
    </cfRule>
  </conditionalFormatting>
  <conditionalFormatting sqref="B137:B138">
    <cfRule type="expression" dxfId="78" priority="218">
      <formula>$T$57=TRUE</formula>
    </cfRule>
  </conditionalFormatting>
  <conditionalFormatting sqref="C136:G136">
    <cfRule type="expression" dxfId="77" priority="5">
      <formula>$R$65=TRUE</formula>
    </cfRule>
    <cfRule type="expression" dxfId="76" priority="6">
      <formula>$R$69=TRUE</formula>
    </cfRule>
    <cfRule type="expression" dxfId="75" priority="8">
      <formula>$R$68=TRUE</formula>
    </cfRule>
    <cfRule type="expression" dxfId="74" priority="9">
      <formula>$R$67=TRUE</formula>
    </cfRule>
    <cfRule type="expression" dxfId="73" priority="15">
      <formula>$S$62=TRUE</formula>
    </cfRule>
    <cfRule type="expression" dxfId="72" priority="214">
      <formula>$T$57=TRUE</formula>
    </cfRule>
  </conditionalFormatting>
  <conditionalFormatting sqref="B136">
    <cfRule type="expression" dxfId="71" priority="213">
      <formula>$T$57=TRUE</formula>
    </cfRule>
  </conditionalFormatting>
  <conditionalFormatting sqref="BH186">
    <cfRule type="expression" dxfId="70" priority="80">
      <formula>$AN$162=TRUE</formula>
    </cfRule>
  </conditionalFormatting>
  <conditionalFormatting sqref="I122:I125">
    <cfRule type="expression" dxfId="69" priority="448">
      <formula>$V$91=TRUE</formula>
    </cfRule>
  </conditionalFormatting>
  <conditionalFormatting sqref="C122:C125">
    <cfRule type="expression" dxfId="68" priority="449">
      <formula>$U$91=TRUE</formula>
    </cfRule>
  </conditionalFormatting>
  <conditionalFormatting sqref="D122:G125">
    <cfRule type="expression" dxfId="67" priority="450">
      <formula>$U$91=TRUE</formula>
    </cfRule>
  </conditionalFormatting>
  <conditionalFormatting sqref="M136:M138">
    <cfRule type="expression" dxfId="66" priority="78">
      <formula>$T$57=TRUE</formula>
    </cfRule>
  </conditionalFormatting>
  <conditionalFormatting sqref="H131:H133">
    <cfRule type="expression" dxfId="65" priority="77">
      <formula>$S$49=TRUE</formula>
    </cfRule>
  </conditionalFormatting>
  <conditionalFormatting sqref="C133:G133">
    <cfRule type="expression" dxfId="64" priority="76">
      <formula>$S$49=TRUE</formula>
    </cfRule>
  </conditionalFormatting>
  <conditionalFormatting sqref="B131:B133">
    <cfRule type="expression" dxfId="63" priority="75">
      <formula>$S$49=TRUE</formula>
    </cfRule>
  </conditionalFormatting>
  <conditionalFormatting sqref="C130:G130">
    <cfRule type="expression" dxfId="62" priority="74">
      <formula>$S$49=TRUE</formula>
    </cfRule>
  </conditionalFormatting>
  <conditionalFormatting sqref="C131:G133">
    <cfRule type="expression" dxfId="61" priority="73">
      <formula>$S$49=TRUE</formula>
    </cfRule>
  </conditionalFormatting>
  <conditionalFormatting sqref="N148">
    <cfRule type="expression" dxfId="60" priority="70">
      <formula>$T$57=TRUE</formula>
    </cfRule>
  </conditionalFormatting>
  <conditionalFormatting sqref="N148">
    <cfRule type="expression" dxfId="59" priority="69">
      <formula>$T$57=TRUE</formula>
    </cfRule>
  </conditionalFormatting>
  <conditionalFormatting sqref="N146:N147">
    <cfRule type="expression" dxfId="58" priority="67">
      <formula>$T$57=TRUE</formula>
    </cfRule>
    <cfRule type="expression" dxfId="57" priority="68">
      <formula>$T$57=TRUE</formula>
    </cfRule>
  </conditionalFormatting>
  <conditionalFormatting sqref="H146">
    <cfRule type="expression" dxfId="56" priority="54">
      <formula>$T$57=TRUE</formula>
    </cfRule>
  </conditionalFormatting>
  <conditionalFormatting sqref="H148:I157">
    <cfRule type="expression" dxfId="55" priority="53">
      <formula>$T$57=TRUE</formula>
    </cfRule>
  </conditionalFormatting>
  <conditionalFormatting sqref="H148:I157">
    <cfRule type="expression" dxfId="54" priority="52">
      <formula>$T$57=TRUE</formula>
    </cfRule>
  </conditionalFormatting>
  <conditionalFormatting sqref="H148:I157">
    <cfRule type="expression" dxfId="53" priority="51">
      <formula>$T$57</formula>
    </cfRule>
  </conditionalFormatting>
  <conditionalFormatting sqref="J148:J157">
    <cfRule type="expression" dxfId="52" priority="50">
      <formula>$T$57=TRUE</formula>
    </cfRule>
  </conditionalFormatting>
  <conditionalFormatting sqref="J148:J157">
    <cfRule type="expression" dxfId="51" priority="49">
      <formula>$T$57=TRUE</formula>
    </cfRule>
  </conditionalFormatting>
  <conditionalFormatting sqref="K148:K157">
    <cfRule type="expression" dxfId="50" priority="48">
      <formula>$T$57=TRUE</formula>
    </cfRule>
  </conditionalFormatting>
  <conditionalFormatting sqref="K148:K157">
    <cfRule type="expression" dxfId="49" priority="47">
      <formula>$T$57=TRUE</formula>
    </cfRule>
  </conditionalFormatting>
  <conditionalFormatting sqref="L149:L157">
    <cfRule type="expression" dxfId="48" priority="41">
      <formula>$T$57=TRUE</formula>
    </cfRule>
  </conditionalFormatting>
  <conditionalFormatting sqref="L149:L157">
    <cfRule type="expression" dxfId="47" priority="40">
      <formula>$T$57=TRUE</formula>
    </cfRule>
  </conditionalFormatting>
  <conditionalFormatting sqref="L148">
    <cfRule type="expression" dxfId="46" priority="39">
      <formula>$T$57=TRUE</formula>
    </cfRule>
  </conditionalFormatting>
  <conditionalFormatting sqref="L148">
    <cfRule type="expression" dxfId="45" priority="38">
      <formula>$T$57=TRUE</formula>
    </cfRule>
  </conditionalFormatting>
  <conditionalFormatting sqref="L146:L147">
    <cfRule type="expression" dxfId="44" priority="36">
      <formula>$T$57=TRUE</formula>
    </cfRule>
  </conditionalFormatting>
  <conditionalFormatting sqref="J146:K147">
    <cfRule type="expression" dxfId="43" priority="35">
      <formula>$T$57=TRUE</formula>
    </cfRule>
  </conditionalFormatting>
  <conditionalFormatting sqref="H146:I147">
    <cfRule type="expression" dxfId="42" priority="34">
      <formula>$T$57=TRUE</formula>
    </cfRule>
  </conditionalFormatting>
  <conditionalFormatting sqref="F146:G146">
    <cfRule type="expression" dxfId="41" priority="33">
      <formula>$T$57=TRUE</formula>
    </cfRule>
  </conditionalFormatting>
  <conditionalFormatting sqref="G147">
    <cfRule type="expression" dxfId="40" priority="32">
      <formula>$T$57=TRUE</formula>
    </cfRule>
  </conditionalFormatting>
  <conditionalFormatting sqref="F147">
    <cfRule type="expression" dxfId="39" priority="31">
      <formula>$T$57=TRUE</formula>
    </cfRule>
  </conditionalFormatting>
  <conditionalFormatting sqref="E146:E147">
    <cfRule type="expression" dxfId="38" priority="30">
      <formula>$T$57=TRUE</formula>
    </cfRule>
  </conditionalFormatting>
  <conditionalFormatting sqref="C146:D147">
    <cfRule type="expression" dxfId="37" priority="29">
      <formula>$T$57=TRUE</formula>
    </cfRule>
  </conditionalFormatting>
  <conditionalFormatting sqref="J148:K148">
    <cfRule type="expression" dxfId="36" priority="28">
      <formula>$Y$156=FALSE</formula>
    </cfRule>
  </conditionalFormatting>
  <conditionalFormatting sqref="J149:K149">
    <cfRule type="expression" dxfId="35" priority="27">
      <formula>$Y$157=FALSE</formula>
    </cfRule>
  </conditionalFormatting>
  <conditionalFormatting sqref="J150:K150">
    <cfRule type="expression" dxfId="34" priority="26">
      <formula>$Y$158=FALSE</formula>
    </cfRule>
  </conditionalFormatting>
  <conditionalFormatting sqref="J151:K151">
    <cfRule type="expression" dxfId="33" priority="25">
      <formula>$Y$159=FALSE</formula>
    </cfRule>
  </conditionalFormatting>
  <conditionalFormatting sqref="J152:K152">
    <cfRule type="expression" dxfId="32" priority="24">
      <formula>$Y$160=FALSE</formula>
    </cfRule>
  </conditionalFormatting>
  <conditionalFormatting sqref="J153:K153">
    <cfRule type="expression" dxfId="31" priority="23">
      <formula>$Y$161=FALSE</formula>
    </cfRule>
  </conditionalFormatting>
  <conditionalFormatting sqref="J154:K154">
    <cfRule type="expression" dxfId="30" priority="22">
      <formula>$Y$162=FALSE</formula>
    </cfRule>
  </conditionalFormatting>
  <conditionalFormatting sqref="J155:K155">
    <cfRule type="expression" dxfId="29" priority="21">
      <formula>$Y$163=FALSE</formula>
    </cfRule>
  </conditionalFormatting>
  <conditionalFormatting sqref="J156:K156">
    <cfRule type="expression" dxfId="28" priority="20">
      <formula>$Y$164=FALSE</formula>
    </cfRule>
  </conditionalFormatting>
  <conditionalFormatting sqref="J157:K157">
    <cfRule type="expression" dxfId="27" priority="19">
      <formula>$Y$165=FALSE</formula>
    </cfRule>
  </conditionalFormatting>
  <conditionalFormatting sqref="C159:L161">
    <cfRule type="expression" dxfId="26" priority="18">
      <formula>$T$166=FALSE</formula>
    </cfRule>
  </conditionalFormatting>
  <conditionalFormatting sqref="C148:L157">
    <cfRule type="expression" dxfId="25" priority="16">
      <formula>$Q$46=TRUE</formula>
    </cfRule>
  </conditionalFormatting>
  <conditionalFormatting sqref="D90:G92">
    <cfRule type="expression" dxfId="24" priority="486">
      <formula>$U$85=TRUE</formula>
    </cfRule>
  </conditionalFormatting>
  <conditionalFormatting sqref="L90:O92">
    <cfRule type="expression" dxfId="23" priority="487">
      <formula>$U$85=TRUE</formula>
    </cfRule>
  </conditionalFormatting>
  <conditionalFormatting sqref="L94:O99">
    <cfRule type="expression" dxfId="22" priority="491">
      <formula>$U$86=TRUE</formula>
    </cfRule>
  </conditionalFormatting>
  <conditionalFormatting sqref="L116:O120">
    <cfRule type="expression" dxfId="21" priority="504">
      <formula>$U$90=TRUE</formula>
    </cfRule>
  </conditionalFormatting>
  <conditionalFormatting sqref="L122:O125">
    <cfRule type="expression" dxfId="20" priority="509">
      <formula>$V$91=TRUE</formula>
    </cfRule>
  </conditionalFormatting>
  <conditionalFormatting sqref="D84:G88">
    <cfRule type="expression" dxfId="19" priority="516">
      <formula>$U$84=TRUE</formula>
    </cfRule>
  </conditionalFormatting>
  <conditionalFormatting sqref="I136:L138">
    <cfRule type="expression" dxfId="18" priority="520">
      <formula>$V$94=TRUE</formula>
    </cfRule>
    <cfRule type="expression" dxfId="17" priority="521">
      <formula>$T$57=TRUE</formula>
    </cfRule>
  </conditionalFormatting>
  <conditionalFormatting sqref="N136:N138">
    <cfRule type="expression" dxfId="16" priority="522">
      <formula>$V$94=TRUE</formula>
    </cfRule>
  </conditionalFormatting>
  <conditionalFormatting sqref="L127:O129">
    <cfRule type="expression" dxfId="15" priority="523">
      <formula>$U$92=TRUE</formula>
    </cfRule>
  </conditionalFormatting>
  <conditionalFormatting sqref="I127:I129">
    <cfRule type="expression" dxfId="14" priority="524">
      <formula>$V$92=TRUE</formula>
    </cfRule>
  </conditionalFormatting>
  <conditionalFormatting sqref="C127:C129">
    <cfRule type="expression" dxfId="13" priority="525">
      <formula>$U$92=TRUE</formula>
    </cfRule>
  </conditionalFormatting>
  <conditionalFormatting sqref="D127:G129">
    <cfRule type="expression" dxfId="12" priority="526">
      <formula>$U$92=TRUE</formula>
    </cfRule>
  </conditionalFormatting>
  <conditionalFormatting sqref="C137:G138">
    <cfRule type="expression" dxfId="11" priority="527">
      <formula>$U$94=TRUE</formula>
    </cfRule>
    <cfRule type="expression" dxfId="10" priority="528">
      <formula>$T$57=TRUE</formula>
    </cfRule>
  </conditionalFormatting>
  <conditionalFormatting sqref="C136:G138">
    <cfRule type="expression" dxfId="9" priority="529">
      <formula>$U$94=TRUE</formula>
    </cfRule>
  </conditionalFormatting>
  <conditionalFormatting sqref="C139:G140">
    <cfRule type="expression" dxfId="8" priority="1">
      <formula>$R$69=TRUE</formula>
    </cfRule>
    <cfRule type="expression" dxfId="7" priority="530">
      <formula>$T$57=TRUE</formula>
    </cfRule>
    <cfRule type="expression" dxfId="6" priority="531">
      <formula>$U$95=TRUE</formula>
    </cfRule>
    <cfRule type="expression" dxfId="5" priority="532">
      <formula>$U$95=TRUE</formula>
    </cfRule>
  </conditionalFormatting>
  <conditionalFormatting sqref="H136:H138">
    <cfRule type="expression" dxfId="4" priority="533">
      <formula>$V$94=TRUE</formula>
    </cfRule>
    <cfRule type="expression" dxfId="3" priority="534">
      <formula>$U$94=TRUE</formula>
    </cfRule>
  </conditionalFormatting>
  <conditionalFormatting sqref="H139:H140">
    <cfRule type="expression" dxfId="2" priority="535">
      <formula>$U$95=TRUE</formula>
    </cfRule>
  </conditionalFormatting>
  <conditionalFormatting sqref="I135:L135">
    <cfRule type="expression" dxfId="1" priority="536">
      <formula>$V$94=TRUE</formula>
    </cfRule>
  </conditionalFormatting>
  <conditionalFormatting sqref="C136:G136">
    <cfRule type="expression" dxfId="0" priority="537">
      <formula>$U$94=TRUE</formula>
    </cfRule>
  </conditionalFormatting>
  <dataValidations count="6">
    <dataValidation allowBlank="1" showInputMessage="1" showErrorMessage="1" promptTitle="Type egendeklarasjon" sqref="D16" xr:uid="{00000000-0002-0000-0000-000000000000}"/>
    <dataValidation type="list" allowBlank="1" showInputMessage="1" showErrorMessage="1" errorTitle="Feil data..." error="Du kan bare velge mellom vannbasert (VB) eller løsemiddelbasert (LB)._x000a_" sqref="H148:I157" xr:uid="{00000000-0002-0000-0000-000001000000}">
      <formula1>$S$154:$S$155</formula1>
    </dataValidation>
    <dataValidation type="list" allowBlank="1" showInputMessage="1" showErrorMessage="1" errorTitle="Feil data..." error="Du kan bare velge mellom Ja og Nei." sqref="L148:L157" xr:uid="{00000000-0002-0000-0000-000002000000}">
      <formula1>$S$152:$S$153</formula1>
    </dataValidation>
    <dataValidation type="list" allowBlank="1" showInputMessage="1" showErrorMessage="1" errorTitle="Feil data..." error="Du må velge mellom a og l..." sqref="E148:E157" xr:uid="{00000000-0002-0000-0000-000003000000}">
      <formula1>$S$156:$S$167</formula1>
    </dataValidation>
    <dataValidation type="list" allowBlank="1" showInputMessage="1" showErrorMessage="1" sqref="K148:K157" xr:uid="{00000000-0002-0000-0000-000004000000}">
      <formula1>$T$152:$T$153</formula1>
    </dataValidation>
    <dataValidation type="list" allowBlank="1" showInputMessage="1" showErrorMessage="1" sqref="G148:G157" xr:uid="{00000000-0002-0000-0000-000005000000}">
      <formula1>$T$155</formula1>
    </dataValidation>
  </dataValidations>
  <hyperlinks>
    <hyperlink ref="L174" location="'Ark1'!A1" display="Tilbake til utfylling" xr:uid="{00000000-0004-0000-0000-000000000000}"/>
    <hyperlink ref="P130" location="'Ark1'!Utskriftsområde" display="'Ark1'!Utskriftsområde" xr:uid="{00000000-0004-0000-0000-000001000000}"/>
    <hyperlink ref="P126" location="'Ark1'!Utskriftsområde" display="'Ark1'!Utskriftsområde" xr:uid="{00000000-0004-0000-0000-000002000000}"/>
    <hyperlink ref="P110" location="'Ark1'!Utskriftsområde" display="'Ark1'!Utskriftsområde" xr:uid="{00000000-0004-0000-0000-000003000000}"/>
    <hyperlink ref="P105" location="'Ark1'!Utskriftsområde" display="'Ark1'!Utskriftsområde" xr:uid="{00000000-0004-0000-0000-000004000000}"/>
    <hyperlink ref="P83" location="'Ark1'!Utskriftsområde" display="'Ark1'!Utskriftsområde" xr:uid="{00000000-0004-0000-0000-000005000000}"/>
    <hyperlink ref="O158" location="'Ark1'!Utskriftsområde" display="'Ark1'!Utskriftsområde" xr:uid="{00000000-0004-0000-0000-000006000000}"/>
    <hyperlink ref="P121" location="'Ark1'!Utskriftsområde" display="'Ark1'!Utskriftsområde" xr:uid="{00000000-0004-0000-0000-000007000000}"/>
    <hyperlink ref="P115" location="'Ark1'!Utskriftsområde" display="'Ark1'!Utskriftsområde" xr:uid="{00000000-0004-0000-0000-000008000000}"/>
    <hyperlink ref="P89" location="'Ark1'!C163" display="'Ark1'!C163" xr:uid="{00000000-0004-0000-0000-000009000000}"/>
  </hyperlinks>
  <pageMargins left="0.23622047244094491" right="0.23622047244094491" top="0.74803149606299213" bottom="0.74803149606299213" header="0.31496062992125984" footer="0.31496062992125984"/>
  <pageSetup paperSize="9" scale="86" orientation="portrait" r:id="rId1"/>
  <rowBreaks count="3" manualBreakCount="3">
    <brk id="112" min="1" max="62" man="1"/>
    <brk id="171" min="1" max="61" man="1"/>
    <brk id="227" max="16383" man="1"/>
  </rowBreaks>
  <colBreaks count="4" manualBreakCount="4">
    <brk id="8" max="269" man="1"/>
    <brk id="16" max="1048575" man="1"/>
    <brk id="23" min="1" max="239" man="1"/>
    <brk id="6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Drop Down 4">
              <controlPr defaultSize="0" autoLine="0" autoPict="0">
                <anchor moveWithCells="1">
                  <from>
                    <xdr:col>2</xdr:col>
                    <xdr:colOff>0</xdr:colOff>
                    <xdr:row>16</xdr:row>
                    <xdr:rowOff>30480</xdr:rowOff>
                  </from>
                  <to>
                    <xdr:col>6</xdr:col>
                    <xdr:colOff>0</xdr:colOff>
                    <xdr:row>17</xdr:row>
                    <xdr:rowOff>99060</xdr:rowOff>
                  </to>
                </anchor>
              </controlPr>
            </control>
          </mc:Choice>
        </mc:AlternateContent>
        <mc:AlternateContent xmlns:mc="http://schemas.openxmlformats.org/markup-compatibility/2006">
          <mc:Choice Requires="x14">
            <control shapeId="1029" r:id="rId5" name="Drop Down 5">
              <controlPr defaultSize="0" autoLine="0" autoPict="0">
                <anchor moveWithCells="1">
                  <from>
                    <xdr:col>2</xdr:col>
                    <xdr:colOff>7620</xdr:colOff>
                    <xdr:row>20</xdr:row>
                    <xdr:rowOff>22860</xdr:rowOff>
                  </from>
                  <to>
                    <xdr:col>6</xdr:col>
                    <xdr:colOff>0</xdr:colOff>
                    <xdr:row>21</xdr:row>
                    <xdr:rowOff>76200</xdr:rowOff>
                  </to>
                </anchor>
              </controlPr>
            </control>
          </mc:Choice>
        </mc:AlternateContent>
        <mc:AlternateContent xmlns:mc="http://schemas.openxmlformats.org/markup-compatibility/2006">
          <mc:Choice Requires="x14">
            <control shapeId="1030" r:id="rId6" name="Drop Down 6">
              <controlPr defaultSize="0" autoLine="0" autoPict="0">
                <anchor moveWithCells="1">
                  <from>
                    <xdr:col>2</xdr:col>
                    <xdr:colOff>22860</xdr:colOff>
                    <xdr:row>24</xdr:row>
                    <xdr:rowOff>22860</xdr:rowOff>
                  </from>
                  <to>
                    <xdr:col>6</xdr:col>
                    <xdr:colOff>0</xdr:colOff>
                    <xdr:row>25</xdr:row>
                    <xdr:rowOff>76200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9</xdr:col>
                    <xdr:colOff>190500</xdr:colOff>
                    <xdr:row>78</xdr:row>
                    <xdr:rowOff>190500</xdr:rowOff>
                  </from>
                  <to>
                    <xdr:col>10</xdr:col>
                    <xdr:colOff>769620</xdr:colOff>
                    <xdr:row>82</xdr:row>
                    <xdr:rowOff>22860</xdr:rowOff>
                  </to>
                </anchor>
              </controlPr>
            </control>
          </mc:Choice>
        </mc:AlternateContent>
        <mc:AlternateContent xmlns:mc="http://schemas.openxmlformats.org/markup-compatibility/2006">
          <mc:Choice Requires="x14">
            <control shapeId="1047" r:id="rId8" name="Group Box 23">
              <controlPr defaultSize="0" autoFill="0" autoPict="0">
                <anchor moveWithCells="1">
                  <from>
                    <xdr:col>9</xdr:col>
                    <xdr:colOff>190500</xdr:colOff>
                    <xdr:row>83</xdr:row>
                    <xdr:rowOff>0</xdr:rowOff>
                  </from>
                  <to>
                    <xdr:col>10</xdr:col>
                    <xdr:colOff>769620</xdr:colOff>
                    <xdr:row>88</xdr:row>
                    <xdr:rowOff>22860</xdr:rowOff>
                  </to>
                </anchor>
              </controlPr>
            </control>
          </mc:Choice>
        </mc:AlternateContent>
        <mc:AlternateContent xmlns:mc="http://schemas.openxmlformats.org/markup-compatibility/2006">
          <mc:Choice Requires="x14">
            <control shapeId="1048" r:id="rId9" name="Group Box 24">
              <controlPr defaultSize="0" autoFill="0" autoPict="0">
                <anchor moveWithCells="1">
                  <from>
                    <xdr:col>9</xdr:col>
                    <xdr:colOff>190500</xdr:colOff>
                    <xdr:row>89</xdr:row>
                    <xdr:rowOff>0</xdr:rowOff>
                  </from>
                  <to>
                    <xdr:col>10</xdr:col>
                    <xdr:colOff>769620</xdr:colOff>
                    <xdr:row>92</xdr:row>
                    <xdr:rowOff>22860</xdr:rowOff>
                  </to>
                </anchor>
              </controlPr>
            </control>
          </mc:Choice>
        </mc:AlternateContent>
        <mc:AlternateContent xmlns:mc="http://schemas.openxmlformats.org/markup-compatibility/2006">
          <mc:Choice Requires="x14">
            <control shapeId="1049" r:id="rId10" name="Group Box 25">
              <controlPr defaultSize="0" autoFill="0" autoPict="0">
                <anchor moveWithCells="1">
                  <from>
                    <xdr:col>9</xdr:col>
                    <xdr:colOff>190500</xdr:colOff>
                    <xdr:row>93</xdr:row>
                    <xdr:rowOff>0</xdr:rowOff>
                  </from>
                  <to>
                    <xdr:col>10</xdr:col>
                    <xdr:colOff>769620</xdr:colOff>
                    <xdr:row>99</xdr:row>
                    <xdr:rowOff>7620</xdr:rowOff>
                  </to>
                </anchor>
              </controlPr>
            </control>
          </mc:Choice>
        </mc:AlternateContent>
        <mc:AlternateContent xmlns:mc="http://schemas.openxmlformats.org/markup-compatibility/2006">
          <mc:Choice Requires="x14">
            <control shapeId="1050" r:id="rId11" name="Group Box 26">
              <controlPr defaultSize="0" autoFill="0" autoPict="0">
                <anchor moveWithCells="1">
                  <from>
                    <xdr:col>9</xdr:col>
                    <xdr:colOff>198120</xdr:colOff>
                    <xdr:row>99</xdr:row>
                    <xdr:rowOff>190500</xdr:rowOff>
                  </from>
                  <to>
                    <xdr:col>10</xdr:col>
                    <xdr:colOff>784860</xdr:colOff>
                    <xdr:row>104</xdr:row>
                    <xdr:rowOff>7620</xdr:rowOff>
                  </to>
                </anchor>
              </controlPr>
            </control>
          </mc:Choice>
        </mc:AlternateContent>
        <mc:AlternateContent xmlns:mc="http://schemas.openxmlformats.org/markup-compatibility/2006">
          <mc:Choice Requires="x14">
            <control shapeId="1051" r:id="rId12" name="Group Box 27">
              <controlPr defaultSize="0" autoFill="0" autoPict="0">
                <anchor moveWithCells="1">
                  <from>
                    <xdr:col>9</xdr:col>
                    <xdr:colOff>190500</xdr:colOff>
                    <xdr:row>105</xdr:row>
                    <xdr:rowOff>0</xdr:rowOff>
                  </from>
                  <to>
                    <xdr:col>10</xdr:col>
                    <xdr:colOff>784860</xdr:colOff>
                    <xdr:row>109</xdr:row>
                    <xdr:rowOff>7620</xdr:rowOff>
                  </to>
                </anchor>
              </controlPr>
            </control>
          </mc:Choice>
        </mc:AlternateContent>
        <mc:AlternateContent xmlns:mc="http://schemas.openxmlformats.org/markup-compatibility/2006">
          <mc:Choice Requires="x14">
            <control shapeId="1052" r:id="rId13" name="Group Box 28">
              <controlPr defaultSize="0" autoFill="0" autoPict="0">
                <anchor moveWithCells="1">
                  <from>
                    <xdr:col>9</xdr:col>
                    <xdr:colOff>198120</xdr:colOff>
                    <xdr:row>109</xdr:row>
                    <xdr:rowOff>190500</xdr:rowOff>
                  </from>
                  <to>
                    <xdr:col>10</xdr:col>
                    <xdr:colOff>784860</xdr:colOff>
                    <xdr:row>114</xdr:row>
                    <xdr:rowOff>0</xdr:rowOff>
                  </to>
                </anchor>
              </controlPr>
            </control>
          </mc:Choice>
        </mc:AlternateContent>
        <mc:AlternateContent xmlns:mc="http://schemas.openxmlformats.org/markup-compatibility/2006">
          <mc:Choice Requires="x14">
            <control shapeId="1053" r:id="rId14" name="Group Box 29">
              <controlPr defaultSize="0" autoFill="0" autoPict="0">
                <anchor moveWithCells="1">
                  <from>
                    <xdr:col>9</xdr:col>
                    <xdr:colOff>190500</xdr:colOff>
                    <xdr:row>115</xdr:row>
                    <xdr:rowOff>0</xdr:rowOff>
                  </from>
                  <to>
                    <xdr:col>10</xdr:col>
                    <xdr:colOff>769620</xdr:colOff>
                    <xdr:row>120</xdr:row>
                    <xdr:rowOff>0</xdr:rowOff>
                  </to>
                </anchor>
              </controlPr>
            </control>
          </mc:Choice>
        </mc:AlternateContent>
        <mc:AlternateContent xmlns:mc="http://schemas.openxmlformats.org/markup-compatibility/2006">
          <mc:Choice Requires="x14">
            <control shapeId="1054" r:id="rId15" name="Group Box 30">
              <controlPr defaultSize="0" autoFill="0" autoPict="0">
                <anchor moveWithCells="1">
                  <from>
                    <xdr:col>9</xdr:col>
                    <xdr:colOff>198120</xdr:colOff>
                    <xdr:row>120</xdr:row>
                    <xdr:rowOff>190500</xdr:rowOff>
                  </from>
                  <to>
                    <xdr:col>10</xdr:col>
                    <xdr:colOff>784860</xdr:colOff>
                    <xdr:row>125</xdr:row>
                    <xdr:rowOff>0</xdr:rowOff>
                  </to>
                </anchor>
              </controlPr>
            </control>
          </mc:Choice>
        </mc:AlternateContent>
        <mc:AlternateContent xmlns:mc="http://schemas.openxmlformats.org/markup-compatibility/2006">
          <mc:Choice Requires="x14">
            <control shapeId="1056" r:id="rId16" name="Option Button 32">
              <controlPr defaultSize="0" autoFill="0" autoLine="0" autoPict="0">
                <anchor moveWithCells="1">
                  <from>
                    <xdr:col>9</xdr:col>
                    <xdr:colOff>304800</xdr:colOff>
                    <xdr:row>79</xdr:row>
                    <xdr:rowOff>137160</xdr:rowOff>
                  </from>
                  <to>
                    <xdr:col>9</xdr:col>
                    <xdr:colOff>716280</xdr:colOff>
                    <xdr:row>81</xdr:row>
                    <xdr:rowOff>68580</xdr:rowOff>
                  </to>
                </anchor>
              </controlPr>
            </control>
          </mc:Choice>
        </mc:AlternateContent>
        <mc:AlternateContent xmlns:mc="http://schemas.openxmlformats.org/markup-compatibility/2006">
          <mc:Choice Requires="x14">
            <control shapeId="1057" r:id="rId17" name="Option Button 33">
              <controlPr defaultSize="0" autoFill="0" autoLine="0" autoPict="0">
                <anchor moveWithCells="1">
                  <from>
                    <xdr:col>10</xdr:col>
                    <xdr:colOff>266700</xdr:colOff>
                    <xdr:row>79</xdr:row>
                    <xdr:rowOff>137160</xdr:rowOff>
                  </from>
                  <to>
                    <xdr:col>10</xdr:col>
                    <xdr:colOff>693420</xdr:colOff>
                    <xdr:row>81</xdr:row>
                    <xdr:rowOff>68580</xdr:rowOff>
                  </to>
                </anchor>
              </controlPr>
            </control>
          </mc:Choice>
        </mc:AlternateContent>
        <mc:AlternateContent xmlns:mc="http://schemas.openxmlformats.org/markup-compatibility/2006">
          <mc:Choice Requires="x14">
            <control shapeId="1059" r:id="rId18" name="Option Button 35">
              <controlPr defaultSize="0" autoFill="0" autoLine="0" autoPict="0">
                <anchor moveWithCells="1">
                  <from>
                    <xdr:col>9</xdr:col>
                    <xdr:colOff>304800</xdr:colOff>
                    <xdr:row>84</xdr:row>
                    <xdr:rowOff>144780</xdr:rowOff>
                  </from>
                  <to>
                    <xdr:col>9</xdr:col>
                    <xdr:colOff>716280</xdr:colOff>
                    <xdr:row>86</xdr:row>
                    <xdr:rowOff>76200</xdr:rowOff>
                  </to>
                </anchor>
              </controlPr>
            </control>
          </mc:Choice>
        </mc:AlternateContent>
        <mc:AlternateContent xmlns:mc="http://schemas.openxmlformats.org/markup-compatibility/2006">
          <mc:Choice Requires="x14">
            <control shapeId="1060" r:id="rId19" name="Option Button 36">
              <controlPr defaultSize="0" autoFill="0" autoLine="0" autoPict="0">
                <anchor moveWithCells="1">
                  <from>
                    <xdr:col>10</xdr:col>
                    <xdr:colOff>266700</xdr:colOff>
                    <xdr:row>84</xdr:row>
                    <xdr:rowOff>144780</xdr:rowOff>
                  </from>
                  <to>
                    <xdr:col>10</xdr:col>
                    <xdr:colOff>693420</xdr:colOff>
                    <xdr:row>86</xdr:row>
                    <xdr:rowOff>76200</xdr:rowOff>
                  </to>
                </anchor>
              </controlPr>
            </control>
          </mc:Choice>
        </mc:AlternateContent>
        <mc:AlternateContent xmlns:mc="http://schemas.openxmlformats.org/markup-compatibility/2006">
          <mc:Choice Requires="x14">
            <control shapeId="1064" r:id="rId20" name="Option Button 40">
              <controlPr defaultSize="0" autoFill="0" autoLine="0" autoPict="0">
                <anchor moveWithCells="1">
                  <from>
                    <xdr:col>9</xdr:col>
                    <xdr:colOff>304800</xdr:colOff>
                    <xdr:row>89</xdr:row>
                    <xdr:rowOff>144780</xdr:rowOff>
                  </from>
                  <to>
                    <xdr:col>9</xdr:col>
                    <xdr:colOff>716280</xdr:colOff>
                    <xdr:row>91</xdr:row>
                    <xdr:rowOff>76200</xdr:rowOff>
                  </to>
                </anchor>
              </controlPr>
            </control>
          </mc:Choice>
        </mc:AlternateContent>
        <mc:AlternateContent xmlns:mc="http://schemas.openxmlformats.org/markup-compatibility/2006">
          <mc:Choice Requires="x14">
            <control shapeId="1065" r:id="rId21" name="Option Button 41">
              <controlPr defaultSize="0" autoFill="0" autoLine="0" autoPict="0">
                <anchor moveWithCells="1">
                  <from>
                    <xdr:col>10</xdr:col>
                    <xdr:colOff>266700</xdr:colOff>
                    <xdr:row>89</xdr:row>
                    <xdr:rowOff>144780</xdr:rowOff>
                  </from>
                  <to>
                    <xdr:col>10</xdr:col>
                    <xdr:colOff>693420</xdr:colOff>
                    <xdr:row>91</xdr:row>
                    <xdr:rowOff>76200</xdr:rowOff>
                  </to>
                </anchor>
              </controlPr>
            </control>
          </mc:Choice>
        </mc:AlternateContent>
        <mc:AlternateContent xmlns:mc="http://schemas.openxmlformats.org/markup-compatibility/2006">
          <mc:Choice Requires="x14">
            <control shapeId="1066" r:id="rId22" name="Option Button 42">
              <controlPr defaultSize="0" autoFill="0" autoLine="0" autoPict="0">
                <anchor moveWithCells="1">
                  <from>
                    <xdr:col>9</xdr:col>
                    <xdr:colOff>304800</xdr:colOff>
                    <xdr:row>95</xdr:row>
                    <xdr:rowOff>38100</xdr:rowOff>
                  </from>
                  <to>
                    <xdr:col>9</xdr:col>
                    <xdr:colOff>716280</xdr:colOff>
                    <xdr:row>96</xdr:row>
                    <xdr:rowOff>160020</xdr:rowOff>
                  </to>
                </anchor>
              </controlPr>
            </control>
          </mc:Choice>
        </mc:AlternateContent>
        <mc:AlternateContent xmlns:mc="http://schemas.openxmlformats.org/markup-compatibility/2006">
          <mc:Choice Requires="x14">
            <control shapeId="1067" r:id="rId23" name="Option Button 43">
              <controlPr defaultSize="0" autoFill="0" autoLine="0" autoPict="0">
                <anchor moveWithCells="1">
                  <from>
                    <xdr:col>10</xdr:col>
                    <xdr:colOff>266700</xdr:colOff>
                    <xdr:row>95</xdr:row>
                    <xdr:rowOff>38100</xdr:rowOff>
                  </from>
                  <to>
                    <xdr:col>10</xdr:col>
                    <xdr:colOff>693420</xdr:colOff>
                    <xdr:row>96</xdr:row>
                    <xdr:rowOff>160020</xdr:rowOff>
                  </to>
                </anchor>
              </controlPr>
            </control>
          </mc:Choice>
        </mc:AlternateContent>
        <mc:AlternateContent xmlns:mc="http://schemas.openxmlformats.org/markup-compatibility/2006">
          <mc:Choice Requires="x14">
            <control shapeId="1068" r:id="rId24" name="Option Button 44">
              <controlPr defaultSize="0" autoFill="0" autoLine="0" autoPict="0">
                <anchor moveWithCells="1">
                  <from>
                    <xdr:col>9</xdr:col>
                    <xdr:colOff>304800</xdr:colOff>
                    <xdr:row>101</xdr:row>
                    <xdr:rowOff>38100</xdr:rowOff>
                  </from>
                  <to>
                    <xdr:col>9</xdr:col>
                    <xdr:colOff>716280</xdr:colOff>
                    <xdr:row>102</xdr:row>
                    <xdr:rowOff>160020</xdr:rowOff>
                  </to>
                </anchor>
              </controlPr>
            </control>
          </mc:Choice>
        </mc:AlternateContent>
        <mc:AlternateContent xmlns:mc="http://schemas.openxmlformats.org/markup-compatibility/2006">
          <mc:Choice Requires="x14">
            <control shapeId="1069" r:id="rId25" name="Option Button 45">
              <controlPr defaultSize="0" autoFill="0" autoLine="0" autoPict="0">
                <anchor moveWithCells="1">
                  <from>
                    <xdr:col>10</xdr:col>
                    <xdr:colOff>266700</xdr:colOff>
                    <xdr:row>101</xdr:row>
                    <xdr:rowOff>38100</xdr:rowOff>
                  </from>
                  <to>
                    <xdr:col>10</xdr:col>
                    <xdr:colOff>693420</xdr:colOff>
                    <xdr:row>102</xdr:row>
                    <xdr:rowOff>160020</xdr:rowOff>
                  </to>
                </anchor>
              </controlPr>
            </control>
          </mc:Choice>
        </mc:AlternateContent>
        <mc:AlternateContent xmlns:mc="http://schemas.openxmlformats.org/markup-compatibility/2006">
          <mc:Choice Requires="x14">
            <control shapeId="1070" r:id="rId26" name="Option Button 46">
              <controlPr defaultSize="0" autoFill="0" autoLine="0" autoPict="0">
                <anchor moveWithCells="1">
                  <from>
                    <xdr:col>9</xdr:col>
                    <xdr:colOff>304800</xdr:colOff>
                    <xdr:row>106</xdr:row>
                    <xdr:rowOff>38100</xdr:rowOff>
                  </from>
                  <to>
                    <xdr:col>9</xdr:col>
                    <xdr:colOff>716280</xdr:colOff>
                    <xdr:row>107</xdr:row>
                    <xdr:rowOff>160020</xdr:rowOff>
                  </to>
                </anchor>
              </controlPr>
            </control>
          </mc:Choice>
        </mc:AlternateContent>
        <mc:AlternateContent xmlns:mc="http://schemas.openxmlformats.org/markup-compatibility/2006">
          <mc:Choice Requires="x14">
            <control shapeId="1071" r:id="rId27" name="Option Button 47">
              <controlPr defaultSize="0" autoFill="0" autoLine="0" autoPict="0">
                <anchor moveWithCells="1">
                  <from>
                    <xdr:col>9</xdr:col>
                    <xdr:colOff>670560</xdr:colOff>
                    <xdr:row>106</xdr:row>
                    <xdr:rowOff>38100</xdr:rowOff>
                  </from>
                  <to>
                    <xdr:col>10</xdr:col>
                    <xdr:colOff>289560</xdr:colOff>
                    <xdr:row>107</xdr:row>
                    <xdr:rowOff>160020</xdr:rowOff>
                  </to>
                </anchor>
              </controlPr>
            </control>
          </mc:Choice>
        </mc:AlternateContent>
        <mc:AlternateContent xmlns:mc="http://schemas.openxmlformats.org/markup-compatibility/2006">
          <mc:Choice Requires="x14">
            <control shapeId="1072" r:id="rId28" name="Option Button 48">
              <controlPr defaultSize="0" autoFill="0" autoLine="0" autoPict="0">
                <anchor moveWithCells="1">
                  <from>
                    <xdr:col>9</xdr:col>
                    <xdr:colOff>304800</xdr:colOff>
                    <xdr:row>111</xdr:row>
                    <xdr:rowOff>38100</xdr:rowOff>
                  </from>
                  <to>
                    <xdr:col>9</xdr:col>
                    <xdr:colOff>716280</xdr:colOff>
                    <xdr:row>112</xdr:row>
                    <xdr:rowOff>160020</xdr:rowOff>
                  </to>
                </anchor>
              </controlPr>
            </control>
          </mc:Choice>
        </mc:AlternateContent>
        <mc:AlternateContent xmlns:mc="http://schemas.openxmlformats.org/markup-compatibility/2006">
          <mc:Choice Requires="x14">
            <control shapeId="1073" r:id="rId29" name="Option Button 49">
              <controlPr defaultSize="0" autoFill="0" autoLine="0" autoPict="0">
                <anchor moveWithCells="1">
                  <from>
                    <xdr:col>10</xdr:col>
                    <xdr:colOff>266700</xdr:colOff>
                    <xdr:row>111</xdr:row>
                    <xdr:rowOff>38100</xdr:rowOff>
                  </from>
                  <to>
                    <xdr:col>10</xdr:col>
                    <xdr:colOff>693420</xdr:colOff>
                    <xdr:row>112</xdr:row>
                    <xdr:rowOff>160020</xdr:rowOff>
                  </to>
                </anchor>
              </controlPr>
            </control>
          </mc:Choice>
        </mc:AlternateContent>
        <mc:AlternateContent xmlns:mc="http://schemas.openxmlformats.org/markup-compatibility/2006">
          <mc:Choice Requires="x14">
            <control shapeId="1074" r:id="rId30" name="Option Button 50">
              <controlPr defaultSize="0" autoFill="0" autoLine="0" autoPict="0">
                <anchor moveWithCells="1">
                  <from>
                    <xdr:col>9</xdr:col>
                    <xdr:colOff>304800</xdr:colOff>
                    <xdr:row>116</xdr:row>
                    <xdr:rowOff>106680</xdr:rowOff>
                  </from>
                  <to>
                    <xdr:col>9</xdr:col>
                    <xdr:colOff>716280</xdr:colOff>
                    <xdr:row>118</xdr:row>
                    <xdr:rowOff>38100</xdr:rowOff>
                  </to>
                </anchor>
              </controlPr>
            </control>
          </mc:Choice>
        </mc:AlternateContent>
        <mc:AlternateContent xmlns:mc="http://schemas.openxmlformats.org/markup-compatibility/2006">
          <mc:Choice Requires="x14">
            <control shapeId="1075" r:id="rId31" name="Option Button 51">
              <controlPr defaultSize="0" autoFill="0" autoLine="0" autoPict="0">
                <anchor moveWithCells="1">
                  <from>
                    <xdr:col>10</xdr:col>
                    <xdr:colOff>266700</xdr:colOff>
                    <xdr:row>116</xdr:row>
                    <xdr:rowOff>106680</xdr:rowOff>
                  </from>
                  <to>
                    <xdr:col>10</xdr:col>
                    <xdr:colOff>693420</xdr:colOff>
                    <xdr:row>118</xdr:row>
                    <xdr:rowOff>38100</xdr:rowOff>
                  </to>
                </anchor>
              </controlPr>
            </control>
          </mc:Choice>
        </mc:AlternateContent>
        <mc:AlternateContent xmlns:mc="http://schemas.openxmlformats.org/markup-compatibility/2006">
          <mc:Choice Requires="x14">
            <control shapeId="1076" r:id="rId32" name="Option Button 52">
              <controlPr defaultSize="0" autoFill="0" autoLine="0" autoPict="0">
                <anchor moveWithCells="1">
                  <from>
                    <xdr:col>9</xdr:col>
                    <xdr:colOff>304800</xdr:colOff>
                    <xdr:row>122</xdr:row>
                    <xdr:rowOff>38100</xdr:rowOff>
                  </from>
                  <to>
                    <xdr:col>9</xdr:col>
                    <xdr:colOff>716280</xdr:colOff>
                    <xdr:row>123</xdr:row>
                    <xdr:rowOff>160020</xdr:rowOff>
                  </to>
                </anchor>
              </controlPr>
            </control>
          </mc:Choice>
        </mc:AlternateContent>
        <mc:AlternateContent xmlns:mc="http://schemas.openxmlformats.org/markup-compatibility/2006">
          <mc:Choice Requires="x14">
            <control shapeId="1077" r:id="rId33" name="Option Button 53">
              <controlPr defaultSize="0" autoFill="0" autoLine="0" autoPict="0">
                <anchor moveWithCells="1">
                  <from>
                    <xdr:col>10</xdr:col>
                    <xdr:colOff>266700</xdr:colOff>
                    <xdr:row>122</xdr:row>
                    <xdr:rowOff>38100</xdr:rowOff>
                  </from>
                  <to>
                    <xdr:col>10</xdr:col>
                    <xdr:colOff>693420</xdr:colOff>
                    <xdr:row>123</xdr:row>
                    <xdr:rowOff>160020</xdr:rowOff>
                  </to>
                </anchor>
              </controlPr>
            </control>
          </mc:Choice>
        </mc:AlternateContent>
        <mc:AlternateContent xmlns:mc="http://schemas.openxmlformats.org/markup-compatibility/2006">
          <mc:Choice Requires="x14">
            <control shapeId="1101" r:id="rId34" name="Group Box 77">
              <controlPr defaultSize="0" autoFill="0" autoPict="0">
                <anchor moveWithCells="1">
                  <from>
                    <xdr:col>9</xdr:col>
                    <xdr:colOff>198120</xdr:colOff>
                    <xdr:row>125</xdr:row>
                    <xdr:rowOff>190500</xdr:rowOff>
                  </from>
                  <to>
                    <xdr:col>10</xdr:col>
                    <xdr:colOff>784860</xdr:colOff>
                    <xdr:row>129</xdr:row>
                    <xdr:rowOff>0</xdr:rowOff>
                  </to>
                </anchor>
              </controlPr>
            </control>
          </mc:Choice>
        </mc:AlternateContent>
        <mc:AlternateContent xmlns:mc="http://schemas.openxmlformats.org/markup-compatibility/2006">
          <mc:Choice Requires="x14">
            <control shapeId="1102" r:id="rId35" name="Option Button 78">
              <controlPr defaultSize="0" autoFill="0" autoLine="0" autoPict="0">
                <anchor moveWithCells="1">
                  <from>
                    <xdr:col>9</xdr:col>
                    <xdr:colOff>304800</xdr:colOff>
                    <xdr:row>126</xdr:row>
                    <xdr:rowOff>121920</xdr:rowOff>
                  </from>
                  <to>
                    <xdr:col>9</xdr:col>
                    <xdr:colOff>716280</xdr:colOff>
                    <xdr:row>128</xdr:row>
                    <xdr:rowOff>60960</xdr:rowOff>
                  </to>
                </anchor>
              </controlPr>
            </control>
          </mc:Choice>
        </mc:AlternateContent>
        <mc:AlternateContent xmlns:mc="http://schemas.openxmlformats.org/markup-compatibility/2006">
          <mc:Choice Requires="x14">
            <control shapeId="1103" r:id="rId36" name="Option Button 79">
              <controlPr defaultSize="0" autoFill="0" autoLine="0" autoPict="0">
                <anchor moveWithCells="1">
                  <from>
                    <xdr:col>10</xdr:col>
                    <xdr:colOff>266700</xdr:colOff>
                    <xdr:row>126</xdr:row>
                    <xdr:rowOff>121920</xdr:rowOff>
                  </from>
                  <to>
                    <xdr:col>10</xdr:col>
                    <xdr:colOff>693420</xdr:colOff>
                    <xdr:row>128</xdr:row>
                    <xdr:rowOff>60960</xdr:rowOff>
                  </to>
                </anchor>
              </controlPr>
            </control>
          </mc:Choice>
        </mc:AlternateContent>
        <mc:AlternateContent xmlns:mc="http://schemas.openxmlformats.org/markup-compatibility/2006">
          <mc:Choice Requires="x14">
            <control shapeId="1115" r:id="rId37" name="Option Button 91">
              <controlPr defaultSize="0" autoFill="0" autoLine="0" autoPict="0">
                <anchor moveWithCells="1">
                  <from>
                    <xdr:col>10</xdr:col>
                    <xdr:colOff>274320</xdr:colOff>
                    <xdr:row>106</xdr:row>
                    <xdr:rowOff>38100</xdr:rowOff>
                  </from>
                  <to>
                    <xdr:col>10</xdr:col>
                    <xdr:colOff>708660</xdr:colOff>
                    <xdr:row>107</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6</vt:i4>
      </vt:variant>
    </vt:vector>
  </HeadingPairs>
  <TitlesOfParts>
    <vt:vector size="7" baseType="lpstr">
      <vt:lpstr>Ark1</vt:lpstr>
      <vt:lpstr>'Ark1'!_ftn3</vt:lpstr>
      <vt:lpstr>'Ark1'!_ftn5</vt:lpstr>
      <vt:lpstr>'Ark1'!_ftnref1</vt:lpstr>
      <vt:lpstr>'Ark1'!_ftnref3</vt:lpstr>
      <vt:lpstr>'Ark1'!_ftnref5</vt:lpstr>
      <vt:lpstr>'Ark1'!Utskriftsområde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Hammerstad</dc:creator>
  <cp:lastModifiedBy>Martyna Sojka</cp:lastModifiedBy>
  <cp:lastPrinted>2014-03-06T08:11:46Z</cp:lastPrinted>
  <dcterms:created xsi:type="dcterms:W3CDTF">2013-08-23T13:16:49Z</dcterms:created>
  <dcterms:modified xsi:type="dcterms:W3CDTF">2023-03-03T07:48:31Z</dcterms:modified>
</cp:coreProperties>
</file>